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7635" windowHeight="2655"/>
  </bookViews>
  <sheets>
    <sheet name="Site_Costs" sheetId="5" r:id="rId1"/>
    <sheet name="LCS^2_Components" sheetId="3" r:id="rId2"/>
    <sheet name="Spawning_Beds" sheetId="6" r:id="rId3"/>
    <sheet name="Minnow_Factory" sheetId="7" r:id="rId4"/>
    <sheet name="HPF" sheetId="1" r:id="rId5"/>
    <sheet name="T-Habs" sheetId="4" r:id="rId6"/>
  </sheets>
  <definedNames>
    <definedName name="_xlnm._FilterDatabase" localSheetId="1" hidden="1">'LCS^2_Components'!$A$16:$G$28</definedName>
    <definedName name="Adult_rate">'LCS^2_Components'!$X$1</definedName>
    <definedName name="Agency_Rate">'LCS^2_Components'!$Y$1</definedName>
    <definedName name="Student_Rate">'LCS^2_Components'!$W$1</definedName>
  </definedNames>
  <calcPr calcId="145621"/>
</workbook>
</file>

<file path=xl/calcChain.xml><?xml version="1.0" encoding="utf-8"?>
<calcChain xmlns="http://schemas.openxmlformats.org/spreadsheetml/2006/main">
  <c r="H32" i="5" l="1"/>
  <c r="G32" i="5"/>
  <c r="F32" i="5"/>
  <c r="H12" i="3"/>
  <c r="H24" i="3"/>
  <c r="J28" i="3"/>
  <c r="J14" i="3"/>
  <c r="K28" i="3"/>
  <c r="F41" i="3"/>
  <c r="G41" i="3"/>
  <c r="H41" i="3"/>
  <c r="I41" i="3"/>
  <c r="J41" i="3"/>
  <c r="K41" i="3"/>
  <c r="F30" i="3"/>
  <c r="D12" i="5"/>
  <c r="D21" i="5" s="1"/>
  <c r="D11" i="5"/>
  <c r="D20" i="5" s="1"/>
  <c r="D30" i="5" s="1"/>
  <c r="D10" i="5"/>
  <c r="D9" i="5"/>
  <c r="D18" i="5" s="1"/>
  <c r="D28" i="5" s="1"/>
  <c r="D38" i="5" s="1"/>
  <c r="D8" i="5"/>
  <c r="C12" i="5"/>
  <c r="C21" i="5" s="1"/>
  <c r="C31" i="5" s="1"/>
  <c r="C11" i="5"/>
  <c r="C20" i="5" s="1"/>
  <c r="C30" i="5" s="1"/>
  <c r="C10" i="5"/>
  <c r="C19" i="5" s="1"/>
  <c r="C9" i="5"/>
  <c r="C18" i="5" s="1"/>
  <c r="C8" i="5"/>
  <c r="C17" i="5" s="1"/>
  <c r="D19" i="5"/>
  <c r="D29" i="5" s="1"/>
  <c r="D39" i="5" s="1"/>
  <c r="H12" i="5"/>
  <c r="G12" i="5"/>
  <c r="G21" i="5" s="1"/>
  <c r="G31" i="5" s="1"/>
  <c r="F12" i="5"/>
  <c r="F21" i="5" s="1"/>
  <c r="F31" i="5" s="1"/>
  <c r="E12" i="5"/>
  <c r="E21" i="5" s="1"/>
  <c r="H11" i="5"/>
  <c r="G11" i="5"/>
  <c r="G20" i="5" s="1"/>
  <c r="G30" i="5" s="1"/>
  <c r="F11" i="5"/>
  <c r="F20" i="5" s="1"/>
  <c r="F30" i="5" s="1"/>
  <c r="H10" i="5"/>
  <c r="G10" i="5"/>
  <c r="G19" i="5" s="1"/>
  <c r="G29" i="5" s="1"/>
  <c r="G39" i="5" s="1"/>
  <c r="G47" i="5" s="1"/>
  <c r="F10" i="5"/>
  <c r="F19" i="5" s="1"/>
  <c r="F29" i="5" s="1"/>
  <c r="F39" i="5" s="1"/>
  <c r="F47" i="5" s="1"/>
  <c r="E10" i="5"/>
  <c r="E19" i="5" s="1"/>
  <c r="F9" i="5"/>
  <c r="F18" i="5" s="1"/>
  <c r="H8" i="5"/>
  <c r="F8" i="5"/>
  <c r="F17" i="5" s="1"/>
  <c r="F27" i="5" s="1"/>
  <c r="F37" i="5" s="1"/>
  <c r="F45" i="5" s="1"/>
  <c r="F14" i="3"/>
  <c r="K14" i="3"/>
  <c r="F13" i="3"/>
  <c r="F12" i="3"/>
  <c r="K13" i="3"/>
  <c r="K12" i="3"/>
  <c r="E31" i="5" l="1"/>
  <c r="H31" i="5" s="1"/>
  <c r="H21" i="5"/>
  <c r="I21" i="5" s="1"/>
  <c r="C28" i="5"/>
  <c r="C38" i="5" s="1"/>
  <c r="H19" i="5"/>
  <c r="I19" i="5" s="1"/>
  <c r="E29" i="5"/>
  <c r="F22" i="5"/>
  <c r="J20" i="5"/>
  <c r="J30" i="5" s="1"/>
  <c r="F28" i="5"/>
  <c r="F38" i="5" s="1"/>
  <c r="D31" i="5"/>
  <c r="J21" i="5"/>
  <c r="J31" i="5" s="1"/>
  <c r="J18" i="5"/>
  <c r="J28" i="5" s="1"/>
  <c r="J38" i="5" s="1"/>
  <c r="D17" i="5"/>
  <c r="J17" i="5" s="1"/>
  <c r="J27" i="5" s="1"/>
  <c r="J37" i="5" s="1"/>
  <c r="J19" i="5"/>
  <c r="J29" i="5" s="1"/>
  <c r="J39" i="5" s="1"/>
  <c r="C29" i="5"/>
  <c r="C39" i="5" s="1"/>
  <c r="C22" i="5"/>
  <c r="C27" i="5"/>
  <c r="C37" i="5" s="1"/>
  <c r="I10" i="5"/>
  <c r="I12" i="5"/>
  <c r="H57" i="3"/>
  <c r="H52" i="3" s="1"/>
  <c r="K52" i="3"/>
  <c r="J52" i="3"/>
  <c r="I52" i="3"/>
  <c r="J50" i="3"/>
  <c r="I49" i="3"/>
  <c r="H48" i="3"/>
  <c r="H46" i="3"/>
  <c r="H45" i="3"/>
  <c r="E11" i="5"/>
  <c r="E20" i="5" s="1"/>
  <c r="E30" i="5" s="1"/>
  <c r="H30" i="5" s="1"/>
  <c r="J38" i="3"/>
  <c r="I39" i="3"/>
  <c r="I36" i="3"/>
  <c r="I30" i="3" s="1"/>
  <c r="H37" i="3"/>
  <c r="H35" i="3"/>
  <c r="H34" i="3"/>
  <c r="J30" i="3"/>
  <c r="H30" i="3"/>
  <c r="K30" i="3"/>
  <c r="K16" i="3"/>
  <c r="H9" i="5" s="1"/>
  <c r="J16" i="3"/>
  <c r="G9" i="5" s="1"/>
  <c r="G18" i="5" s="1"/>
  <c r="G28" i="5" s="1"/>
  <c r="G38" i="5" s="1"/>
  <c r="G46" i="5" s="1"/>
  <c r="I16" i="3"/>
  <c r="H16" i="3"/>
  <c r="E9" i="5" s="1"/>
  <c r="E18" i="5" s="1"/>
  <c r="E28" i="5" s="1"/>
  <c r="E38" i="5" s="1"/>
  <c r="E46" i="5" s="1"/>
  <c r="H26" i="3"/>
  <c r="I27" i="3"/>
  <c r="H23" i="3"/>
  <c r="H4" i="3"/>
  <c r="E8" i="5" s="1"/>
  <c r="E17" i="5" s="1"/>
  <c r="E27" i="5" s="1"/>
  <c r="J4" i="3"/>
  <c r="G8" i="5" s="1"/>
  <c r="G17" i="5" s="1"/>
  <c r="G27" i="5" s="1"/>
  <c r="G37" i="5" s="1"/>
  <c r="G45" i="5" s="1"/>
  <c r="J11" i="3"/>
  <c r="I13" i="3"/>
  <c r="I4" i="3" s="1"/>
  <c r="H10" i="3"/>
  <c r="H9" i="3"/>
  <c r="K57" i="3"/>
  <c r="K23" i="3"/>
  <c r="K24" i="3"/>
  <c r="K50" i="3"/>
  <c r="K49" i="3"/>
  <c r="K48" i="3"/>
  <c r="K46" i="3"/>
  <c r="K45" i="3"/>
  <c r="K9" i="3"/>
  <c r="K39" i="3"/>
  <c r="K38" i="3"/>
  <c r="K37" i="3"/>
  <c r="K36" i="3"/>
  <c r="K35" i="3"/>
  <c r="K34" i="3"/>
  <c r="K27" i="3"/>
  <c r="K26" i="3"/>
  <c r="K4" i="3"/>
  <c r="K11" i="3"/>
  <c r="K10" i="3"/>
  <c r="F59" i="3"/>
  <c r="F58" i="3"/>
  <c r="F57" i="3"/>
  <c r="E53" i="3"/>
  <c r="F27" i="3"/>
  <c r="E54" i="3"/>
  <c r="F40" i="5" l="1"/>
  <c r="F46" i="5"/>
  <c r="F48" i="5" s="1"/>
  <c r="H18" i="5"/>
  <c r="I18" i="5" s="1"/>
  <c r="K18" i="5" s="1"/>
  <c r="I9" i="5"/>
  <c r="K9" i="5" s="1"/>
  <c r="H17" i="5"/>
  <c r="I17" i="5" s="1"/>
  <c r="K17" i="5" s="1"/>
  <c r="I8" i="5"/>
  <c r="K8" i="5" s="1"/>
  <c r="G40" i="5"/>
  <c r="G48" i="5"/>
  <c r="G22" i="5"/>
  <c r="H20" i="5"/>
  <c r="I20" i="5" s="1"/>
  <c r="K20" i="5" s="1"/>
  <c r="I11" i="5"/>
  <c r="E22" i="5"/>
  <c r="K21" i="5"/>
  <c r="K19" i="5"/>
  <c r="H28" i="5"/>
  <c r="H38" i="5" s="1"/>
  <c r="E39" i="5"/>
  <c r="E47" i="5" s="1"/>
  <c r="H47" i="5" s="1"/>
  <c r="H29" i="5"/>
  <c r="H39" i="5" s="1"/>
  <c r="J40" i="5"/>
  <c r="E32" i="5"/>
  <c r="E37" i="5"/>
  <c r="E45" i="5" s="1"/>
  <c r="E48" i="5" s="1"/>
  <c r="H27" i="5"/>
  <c r="H37" i="5" s="1"/>
  <c r="D22" i="5"/>
  <c r="J32" i="5"/>
  <c r="J22" i="5"/>
  <c r="D27" i="5"/>
  <c r="D37" i="5" s="1"/>
  <c r="D40" i="5" s="1"/>
  <c r="K12" i="5"/>
  <c r="K10" i="5"/>
  <c r="C32" i="5"/>
  <c r="C40" i="5"/>
  <c r="K11" i="5"/>
  <c r="D52" i="3"/>
  <c r="F52" i="3"/>
  <c r="G52" i="3"/>
  <c r="G30" i="3" s="1"/>
  <c r="D41" i="3"/>
  <c r="F47" i="3"/>
  <c r="F50" i="3"/>
  <c r="F49" i="3"/>
  <c r="F48" i="3"/>
  <c r="F46" i="3"/>
  <c r="F45" i="3"/>
  <c r="F39" i="3"/>
  <c r="F38" i="3"/>
  <c r="F37" i="3"/>
  <c r="F36" i="3"/>
  <c r="F34" i="3"/>
  <c r="U37" i="3"/>
  <c r="F35" i="3"/>
  <c r="E32" i="3"/>
  <c r="E30" i="3" s="1"/>
  <c r="F10" i="3"/>
  <c r="G16" i="3"/>
  <c r="G4" i="3"/>
  <c r="F11" i="3"/>
  <c r="F9" i="3"/>
  <c r="E8" i="3"/>
  <c r="E6" i="3"/>
  <c r="AA1" i="3"/>
  <c r="F28" i="3"/>
  <c r="F26" i="3"/>
  <c r="F25" i="3"/>
  <c r="F24" i="3"/>
  <c r="F23" i="3"/>
  <c r="E22" i="3"/>
  <c r="E21" i="3"/>
  <c r="E20" i="3"/>
  <c r="E19" i="3"/>
  <c r="E18" i="3"/>
  <c r="E17" i="3"/>
  <c r="AB2" i="3"/>
  <c r="E7" i="3" s="1"/>
  <c r="D5" i="3"/>
  <c r="D4" i="3" s="1"/>
  <c r="H46" i="5" l="1"/>
  <c r="H22" i="5"/>
  <c r="H45" i="5"/>
  <c r="E40" i="5"/>
  <c r="H40" i="5"/>
  <c r="D32" i="5"/>
  <c r="I27" i="5"/>
  <c r="I37" i="5" s="1"/>
  <c r="I22" i="5"/>
  <c r="K30" i="5"/>
  <c r="I30" i="5"/>
  <c r="I29" i="5"/>
  <c r="I39" i="5" s="1"/>
  <c r="K29" i="5"/>
  <c r="K39" i="5" s="1"/>
  <c r="I28" i="5"/>
  <c r="I38" i="5" s="1"/>
  <c r="K28" i="5"/>
  <c r="K38" i="5" s="1"/>
  <c r="K31" i="5"/>
  <c r="I31" i="5"/>
  <c r="L30" i="3"/>
  <c r="E55" i="3"/>
  <c r="E52" i="3" s="1"/>
  <c r="L52" i="3" s="1"/>
  <c r="E44" i="3"/>
  <c r="E41" i="3" s="1"/>
  <c r="E4" i="3"/>
  <c r="F4" i="3"/>
  <c r="F16" i="3"/>
  <c r="E16" i="3"/>
  <c r="D50" i="4"/>
  <c r="D48" i="4"/>
  <c r="D45" i="4"/>
  <c r="M22" i="1"/>
  <c r="H22" i="1"/>
  <c r="H36" i="1" s="1"/>
  <c r="H37" i="1" s="1"/>
  <c r="M36" i="1"/>
  <c r="M37" i="1" s="1"/>
  <c r="C36" i="1"/>
  <c r="C37" i="1" s="1"/>
  <c r="M18" i="1"/>
  <c r="H18" i="1"/>
  <c r="C18" i="1"/>
  <c r="H48" i="5" l="1"/>
  <c r="I40" i="5"/>
  <c r="K27" i="5"/>
  <c r="K37" i="5" s="1"/>
  <c r="K40" i="5" s="1"/>
  <c r="K22" i="5"/>
  <c r="I32" i="5"/>
  <c r="L41" i="3"/>
  <c r="L16" i="3"/>
  <c r="L4" i="3"/>
  <c r="C38" i="1"/>
  <c r="M21" i="1"/>
  <c r="H21" i="1"/>
  <c r="C21" i="1"/>
  <c r="K32" i="5" l="1"/>
  <c r="C39" i="1"/>
  <c r="C40" i="1" s="1"/>
  <c r="C22" i="1"/>
  <c r="H24" i="1" l="1"/>
  <c r="H25" i="1" s="1"/>
  <c r="H30" i="1"/>
  <c r="H31" i="1" s="1"/>
  <c r="M24" i="1"/>
  <c r="M25" i="1" s="1"/>
  <c r="M30" i="1"/>
  <c r="M31" i="1" s="1"/>
  <c r="C30" i="1"/>
  <c r="C31" i="1" s="1"/>
  <c r="C24" i="1"/>
  <c r="C25" i="1" s="1"/>
  <c r="C32" i="1" l="1"/>
  <c r="C26" i="1"/>
  <c r="C27" i="1" s="1"/>
  <c r="C28" i="1" s="1"/>
  <c r="C33" i="1" l="1"/>
  <c r="C34" i="1" s="1"/>
</calcChain>
</file>

<file path=xl/sharedStrings.xml><?xml version="1.0" encoding="utf-8"?>
<sst xmlns="http://schemas.openxmlformats.org/spreadsheetml/2006/main" count="390" uniqueCount="171">
  <si>
    <t xml:space="preserve">   </t>
  </si>
  <si>
    <t>•One of the most versatile wire products made</t>
  </si>
  <si>
    <t>•Sturdy welds keep mesh spacing uniform and distortion free</t>
  </si>
  <si>
    <t>•Vertical wires are cut flush top and bottom to prevent snagging</t>
  </si>
  <si>
    <t>•Galvanized before welding for longer life</t>
  </si>
  <si>
    <t>•2 in. x 4 in. square</t>
  </si>
  <si>
    <t>Description</t>
  </si>
  <si>
    <t xml:space="preserve">Height:  36 in.  </t>
  </si>
  <si>
    <t xml:space="preserve">Length:  100 ft.  </t>
  </si>
  <si>
    <t xml:space="preserve">Mesh:  2 in. x 4 in.  </t>
  </si>
  <si>
    <t xml:space="preserve">Brand:  Red Brand  </t>
  </si>
  <si>
    <t xml:space="preserve">Product Type:  Welded Wire  </t>
  </si>
  <si>
    <t xml:space="preserve">Manufacturer Part Number  84066  </t>
  </si>
  <si>
    <t xml:space="preserve">Height:  48 in.  </t>
  </si>
  <si>
    <t xml:space="preserve">Height:  72 in.  </t>
  </si>
  <si>
    <t>5' T Post (3)</t>
  </si>
  <si>
    <t>Fence Clips (2)</t>
  </si>
  <si>
    <t>6' T Post (3)</t>
  </si>
  <si>
    <t>8' T Post (3)</t>
  </si>
  <si>
    <t>Top-3' Hoop</t>
  </si>
  <si>
    <t>Top-4' Hoop</t>
  </si>
  <si>
    <t>Top-6' Hoop</t>
  </si>
  <si>
    <t>Cost/Site</t>
  </si>
  <si>
    <t>Hoops/Site</t>
  </si>
  <si>
    <t>Wire Roll</t>
  </si>
  <si>
    <t>Hoop Cost</t>
  </si>
  <si>
    <t>Cost - 6 Sites</t>
  </si>
  <si>
    <t>Wire 10'/Hoop</t>
  </si>
  <si>
    <t>Total Material Cost</t>
  </si>
  <si>
    <t>Total Cost Estimate</t>
  </si>
  <si>
    <t>Unidentified (15%)</t>
  </si>
  <si>
    <t>3' Dia x 3' High</t>
  </si>
  <si>
    <t>3' Dia x 4' High</t>
  </si>
  <si>
    <t>3' Dia x 6' High</t>
  </si>
  <si>
    <t>TPWD Attractor Project Cost Estimate</t>
  </si>
  <si>
    <t>11/29/18 ELS</t>
  </si>
  <si>
    <t>Barrels are containers for Pepsi Syrup and available for free with prior notice for pickup.</t>
  </si>
  <si>
    <t xml:space="preserve">500' Roll </t>
  </si>
  <si>
    <t>3 Attractors/Roll</t>
  </si>
  <si>
    <t># of Barrels</t>
  </si>
  <si>
    <t>Total Material Costs</t>
  </si>
  <si>
    <t>Cost/Barrel</t>
  </si>
  <si>
    <t>Tools &amp; Unidentified</t>
  </si>
  <si>
    <t>Component</t>
  </si>
  <si>
    <t>Material</t>
  </si>
  <si>
    <t>Labor</t>
  </si>
  <si>
    <t>Source</t>
  </si>
  <si>
    <t>LFSA</t>
  </si>
  <si>
    <t>Desc.</t>
  </si>
  <si>
    <t>In-Kind</t>
  </si>
  <si>
    <t>Cash</t>
  </si>
  <si>
    <t>Bricks</t>
  </si>
  <si>
    <t>Local Supply</t>
  </si>
  <si>
    <t>Pea Gravel</t>
  </si>
  <si>
    <t>Minnow Factory</t>
  </si>
  <si>
    <t>LFSA/TPWD/ Yantis HS</t>
  </si>
  <si>
    <t>Tubing</t>
  </si>
  <si>
    <t>Cable Ties</t>
  </si>
  <si>
    <t>Lowes -ADS 4-in x 100-ft Corrugated Perforated Pipe</t>
  </si>
  <si>
    <t>Lowes - Utilitech 800-Pack 4-in Nylon Cable Ties</t>
  </si>
  <si>
    <t>Electrical Tape</t>
  </si>
  <si>
    <t>Lowes - Utilitech 10-Pack 60-ft Electrical Tape</t>
  </si>
  <si>
    <t>Rope</t>
  </si>
  <si>
    <t>Poultry Fencing</t>
  </si>
  <si>
    <t>Home Depot - 2 ft. x 25 ft. Green Poultry Hex Fence</t>
  </si>
  <si>
    <t>Lowes - Oldcastle Red Cored Brick</t>
  </si>
  <si>
    <t>Order &amp; P/U Materials (10 units)</t>
  </si>
  <si>
    <t>Yantis HS</t>
  </si>
  <si>
    <t>Construct Factories</t>
  </si>
  <si>
    <t>Deploy in Lake</t>
  </si>
  <si>
    <t>TPWD</t>
  </si>
  <si>
    <t>Total</t>
  </si>
  <si>
    <t>Barrels</t>
  </si>
  <si>
    <t>Pepsi - Beverage Barrels</t>
  </si>
  <si>
    <t>Zip Ties</t>
  </si>
  <si>
    <t>LFSA/TPWD/Yantis HS/ Pepsi</t>
  </si>
  <si>
    <t>Slice Barrel 15 min/barrel 5 hoops= 3 min. asm bricks to ring 15 min = total 18 min</t>
  </si>
  <si>
    <t>15'/Factory</t>
  </si>
  <si>
    <t>16 ties /Factory</t>
  </si>
  <si>
    <t>2 Rolls/Factory</t>
  </si>
  <si>
    <t>2 Factories/ roll</t>
  </si>
  <si>
    <t>3 bricks/factory</t>
  </si>
  <si>
    <t>Lowes - Zip Ties</t>
  </si>
  <si>
    <t>(4) bricks/bed</t>
  </si>
  <si>
    <t>(8) ties/bed</t>
  </si>
  <si>
    <t>LFSA/TPWD/Yantis HS</t>
  </si>
  <si>
    <t>Post Markers</t>
  </si>
  <si>
    <t>Site Signage</t>
  </si>
  <si>
    <t>Fence, Posts and clips</t>
  </si>
  <si>
    <t>100 mile roundtrip, $.50/mile $50, Total travel &amp; unload 4 adult hours 30 barrels/load</t>
  </si>
  <si>
    <t>Coordinate build/storage</t>
  </si>
  <si>
    <t>Coordinate build/storage 2 Adult hrs./10</t>
  </si>
  <si>
    <t>(2) Factories/ roll</t>
  </si>
  <si>
    <t xml:space="preserve">Lowes - Secure Line 0.1875-in x 100-ft Braided Polypropylene Rope </t>
  </si>
  <si>
    <t>Cut tube, subassembly, assemble, wrap, tie 1.5 hr./factory</t>
  </si>
  <si>
    <t>Gather, load, deploy and return 4 adult people x 4 hours / 10 factories</t>
  </si>
  <si>
    <t>Habitat Protection Fence</t>
  </si>
  <si>
    <t>(2) 5 gal. buckets/bed Gravel $62/yd. - 5.10" Depth in ring</t>
  </si>
  <si>
    <t>Spawning Beds</t>
  </si>
  <si>
    <t>Local cost for equivalent barrel $15 with 5 beds/barrel</t>
  </si>
  <si>
    <t>HPF 3' D x 4' H</t>
  </si>
  <si>
    <t>Lowes - PVC Pipe</t>
  </si>
  <si>
    <t>(4) /hoop</t>
  </si>
  <si>
    <t>2 adult hours 20 hoops/load</t>
  </si>
  <si>
    <t>Coordinate build/storage 1 Adult hrs./20</t>
  </si>
  <si>
    <t>Order &amp; P/U Materials (20 units)</t>
  </si>
  <si>
    <t>Design (3 Hrs.), program (3 hrs.) and torch (.5 hrs.)/signs</t>
  </si>
  <si>
    <t>Gather, load, deploy and return 4 adult people x 5 hours / 8 hoops</t>
  </si>
  <si>
    <t>Load, deploy and return 2 Agency people x 7 hours  / 8 hoops</t>
  </si>
  <si>
    <t>Load, deploy and return 4 Students people x 4 hours  / 8 hoops</t>
  </si>
  <si>
    <t>3/16" material</t>
  </si>
  <si>
    <t>T-Habs</t>
  </si>
  <si>
    <t xml:space="preserve">(1) 5 gal. buckets/bed Gravel $62/yd. </t>
  </si>
  <si>
    <t>Rainbird 1/2" Tubing</t>
  </si>
  <si>
    <t>See detail on Hoops sheet for fence, posts and clips</t>
  </si>
  <si>
    <t>See detail on Attractor sheet for details</t>
  </si>
  <si>
    <t>Local cost for equivalent barrel $15</t>
  </si>
  <si>
    <t>Construct T-Habs</t>
  </si>
  <si>
    <t>Mark holes, drill holes and assemble tubing 1 hr.</t>
  </si>
  <si>
    <t>Gather, load, deploy and return 2 adult people x 4 hours / 10 T-Habs</t>
  </si>
  <si>
    <t>Load, deploy and return 2 Agency people x 5 hours  / 10 T-Habs</t>
  </si>
  <si>
    <t>Load, deploy and return 4 Students people x 4 hours  / 10 T-Habs</t>
  </si>
  <si>
    <t>T-Habs - Double Stack Kit</t>
  </si>
  <si>
    <t>Cable</t>
  </si>
  <si>
    <t>Cable Clamps</t>
  </si>
  <si>
    <t>(4) 1/2" Galvanized Cable Clamps</t>
  </si>
  <si>
    <t xml:space="preserve">Lowes - Dow 12-oz Spray Foam Insulation </t>
  </si>
  <si>
    <t>Urethane Foam</t>
  </si>
  <si>
    <t>1/2" Vinyl Coated Galvanized Steel Cable estimate $2/ft.)</t>
  </si>
  <si>
    <t>Install 1 adult .5 hrs.</t>
  </si>
  <si>
    <t>Install 1 agency .5 hrs.</t>
  </si>
  <si>
    <r>
      <t>LCS</t>
    </r>
    <r>
      <rPr>
        <b/>
        <vertAlign val="superscript"/>
        <sz val="16"/>
        <color theme="1"/>
        <rFont val="Calibri"/>
        <family val="2"/>
        <scheme val="minor"/>
      </rPr>
      <t xml:space="preserve">2 </t>
    </r>
    <r>
      <rPr>
        <b/>
        <sz val="16"/>
        <color theme="1"/>
        <rFont val="Calibri"/>
        <family val="2"/>
        <scheme val="minor"/>
      </rPr>
      <t>Site and Project Cost Analysis</t>
    </r>
  </si>
  <si>
    <t>Ordering, Traveling to get material and delivery to build site/30 units 12 @ 18 = 216</t>
  </si>
  <si>
    <t>Order and p/u adult 1 hour/30</t>
  </si>
  <si>
    <t>Labor (hrs.)/ unit</t>
  </si>
  <si>
    <t>Component Labor (hrs.)</t>
  </si>
  <si>
    <t>Organization</t>
  </si>
  <si>
    <t>Habatat Protection Fence (HPF)Cost Estimate</t>
  </si>
  <si>
    <t xml:space="preserve">Material </t>
  </si>
  <si>
    <t>Load, deploy and return 2 adult x 5 hours / 10 Factories</t>
  </si>
  <si>
    <t>Gather, load, deploy and return 2 adult people x 4 hours / 20 beds</t>
  </si>
  <si>
    <t>Load, deploy and return 2 Agency people x 5 hours  / 20 beds</t>
  </si>
  <si>
    <t>Load, deploy and return 2 Students people x 4 hours  / 20 bed</t>
  </si>
  <si>
    <t>Spawning Bed Configuration</t>
  </si>
  <si>
    <t>Pepsi</t>
  </si>
  <si>
    <t>Material ($s)</t>
  </si>
  <si>
    <t xml:space="preserve">Component Costs </t>
  </si>
  <si>
    <t>Labor ($s)</t>
  </si>
  <si>
    <t>Qty./Site</t>
  </si>
  <si>
    <t>All</t>
  </si>
  <si>
    <t>Site Totals</t>
  </si>
  <si>
    <t>Single Site Costs</t>
  </si>
  <si>
    <t>Project Totals</t>
  </si>
  <si>
    <t>Small Grant Cost - 6 Sites</t>
  </si>
  <si>
    <t>Small Grant Totals</t>
  </si>
  <si>
    <t>LFSA ($18)</t>
  </si>
  <si>
    <t>TPWD ($24)</t>
  </si>
  <si>
    <t>Yantis HS ($10)</t>
  </si>
  <si>
    <t>Material  ($s)</t>
  </si>
  <si>
    <t>All Mat. &amp; Labor ($s)</t>
  </si>
  <si>
    <t>Total Project Cost - (6) Sites</t>
  </si>
  <si>
    <t>Labor ($s) - (All In-Kind)</t>
  </si>
  <si>
    <t>Small Grant Labor Contributions</t>
  </si>
  <si>
    <t>Labor (hrs.) - (All In-Kind)</t>
  </si>
  <si>
    <t>Minnow Factory Design Detail</t>
  </si>
  <si>
    <r>
      <t>LCS</t>
    </r>
    <r>
      <rPr>
        <b/>
        <vertAlign val="superscript"/>
        <sz val="16"/>
        <color theme="1"/>
        <rFont val="Calibri"/>
        <family val="2"/>
        <scheme val="minor"/>
      </rPr>
      <t xml:space="preserve">2 </t>
    </r>
    <r>
      <rPr>
        <b/>
        <sz val="16"/>
        <color theme="1"/>
        <rFont val="Calibri"/>
        <family val="2"/>
        <scheme val="minor"/>
      </rPr>
      <t>Detailed Component Cost Analysis</t>
    </r>
  </si>
  <si>
    <t>E.L. Swenson 8/18/2019</t>
  </si>
  <si>
    <t>Load, deploy and return 2 Students people x 4 hours  / 10 factories</t>
  </si>
  <si>
    <t>Estimate 2 Adult hours  /30 units</t>
  </si>
  <si>
    <t>Coordinate build/storage 3 Adult hrs./30</t>
  </si>
  <si>
    <t>Values used for Small Grant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</si>
</sst>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9">
    <xf numFmtId="0" fontId="0" fillId="0" borderId="0" xfId="0"/>
    <xf numFmtId="2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2" fontId="0" fillId="2" borderId="0" xfId="0" applyNumberForma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2" fontId="0" fillId="2" borderId="7" xfId="0" applyNumberFormat="1" applyFill="1" applyBorder="1"/>
    <xf numFmtId="0" fontId="0" fillId="2" borderId="8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2" fontId="0" fillId="3" borderId="0" xfId="0" applyNumberFormat="1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2" fontId="0" fillId="3" borderId="7" xfId="0" applyNumberFormat="1" applyFill="1" applyBorder="1"/>
    <xf numFmtId="0" fontId="0" fillId="3" borderId="8" xfId="0" applyFill="1" applyBorder="1"/>
    <xf numFmtId="2" fontId="0" fillId="4" borderId="7" xfId="0" applyNumberFormat="1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 applyBorder="1"/>
    <xf numFmtId="2" fontId="0" fillId="4" borderId="0" xfId="0" applyNumberFormat="1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44" fontId="0" fillId="0" borderId="0" xfId="1" applyFont="1"/>
    <xf numFmtId="44" fontId="0" fillId="0" borderId="0" xfId="0" applyNumberFormat="1"/>
    <xf numFmtId="44" fontId="0" fillId="0" borderId="7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horizontal="left" indent="1"/>
    </xf>
    <xf numFmtId="0" fontId="0" fillId="0" borderId="0" xfId="0" applyAlignment="1">
      <alignment wrapText="1"/>
    </xf>
    <xf numFmtId="0" fontId="5" fillId="0" borderId="0" xfId="0" applyFont="1"/>
    <xf numFmtId="0" fontId="0" fillId="0" borderId="0" xfId="0" applyAlignment="1">
      <alignment horizontal="center" vertical="center"/>
    </xf>
    <xf numFmtId="164" fontId="0" fillId="0" borderId="0" xfId="0" applyNumberFormat="1"/>
    <xf numFmtId="0" fontId="4" fillId="0" borderId="0" xfId="0" applyFont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44" fontId="0" fillId="0" borderId="9" xfId="1" applyNumberFormat="1" applyFont="1" applyBorder="1"/>
    <xf numFmtId="2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9" xfId="0" applyNumberFormat="1" applyBorder="1"/>
    <xf numFmtId="0" fontId="0" fillId="5" borderId="9" xfId="0" applyFill="1" applyBorder="1" applyAlignment="1">
      <alignment horizontal="center"/>
    </xf>
    <xf numFmtId="164" fontId="0" fillId="5" borderId="9" xfId="0" applyNumberFormat="1" applyFill="1" applyBorder="1"/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0" fillId="0" borderId="9" xfId="0" applyBorder="1" applyAlignment="1">
      <alignment horizontal="left"/>
    </xf>
    <xf numFmtId="0" fontId="0" fillId="0" borderId="9" xfId="0" applyBorder="1"/>
    <xf numFmtId="44" fontId="0" fillId="0" borderId="0" xfId="1" applyFont="1" applyBorder="1" applyAlignment="1">
      <alignment horizontal="center"/>
    </xf>
    <xf numFmtId="37" fontId="0" fillId="0" borderId="10" xfId="1" applyNumberFormat="1" applyFont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44" fontId="0" fillId="0" borderId="9" xfId="1" applyNumberFormat="1" applyFont="1" applyBorder="1" applyAlignment="1">
      <alignment horizontal="center"/>
    </xf>
    <xf numFmtId="44" fontId="0" fillId="0" borderId="10" xfId="1" applyNumberFormat="1" applyFont="1" applyBorder="1" applyAlignment="1">
      <alignment horizontal="center"/>
    </xf>
    <xf numFmtId="44" fontId="0" fillId="0" borderId="11" xfId="1" applyNumberFormat="1" applyFont="1" applyBorder="1" applyAlignment="1">
      <alignment horizontal="center"/>
    </xf>
    <xf numFmtId="0" fontId="0" fillId="0" borderId="17" xfId="0" applyBorder="1"/>
    <xf numFmtId="44" fontId="0" fillId="0" borderId="17" xfId="1" applyNumberFormat="1" applyFont="1" applyBorder="1"/>
    <xf numFmtId="2" fontId="0" fillId="0" borderId="17" xfId="0" applyNumberFormat="1" applyBorder="1" applyAlignment="1">
      <alignment horizontal="center"/>
    </xf>
    <xf numFmtId="44" fontId="0" fillId="0" borderId="12" xfId="1" applyNumberFormat="1" applyFont="1" applyBorder="1" applyAlignment="1">
      <alignment horizontal="center"/>
    </xf>
    <xf numFmtId="44" fontId="0" fillId="0" borderId="14" xfId="1" applyNumberFormat="1" applyFont="1" applyBorder="1" applyAlignment="1">
      <alignment horizontal="center"/>
    </xf>
    <xf numFmtId="44" fontId="0" fillId="0" borderId="0" xfId="1" applyFont="1" applyBorder="1"/>
    <xf numFmtId="2" fontId="0" fillId="0" borderId="0" xfId="0" applyNumberFormat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0" xfId="1" applyNumberFormat="1" applyFont="1" applyBorder="1"/>
    <xf numFmtId="0" fontId="5" fillId="0" borderId="0" xfId="0" applyFont="1" applyAlignment="1">
      <alignment horizontal="center"/>
    </xf>
    <xf numFmtId="0" fontId="7" fillId="0" borderId="10" xfId="0" applyFont="1" applyBorder="1"/>
    <xf numFmtId="0" fontId="0" fillId="0" borderId="0" xfId="0" applyBorder="1" applyAlignment="1">
      <alignment horizontal="left"/>
    </xf>
    <xf numFmtId="0" fontId="4" fillId="5" borderId="16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0" xfId="0" applyFill="1" applyBorder="1" applyAlignment="1">
      <alignment horizontal="left"/>
    </xf>
    <xf numFmtId="0" fontId="0" fillId="5" borderId="11" xfId="0" applyFill="1" applyBorder="1" applyAlignment="1">
      <alignment horizontal="left"/>
    </xf>
    <xf numFmtId="0" fontId="0" fillId="5" borderId="10" xfId="0" applyFill="1" applyBorder="1"/>
    <xf numFmtId="0" fontId="0" fillId="5" borderId="11" xfId="0" applyFill="1" applyBorder="1"/>
    <xf numFmtId="44" fontId="0" fillId="5" borderId="0" xfId="1" applyFont="1" applyFill="1" applyBorder="1" applyAlignment="1">
      <alignment horizontal="center"/>
    </xf>
    <xf numFmtId="0" fontId="4" fillId="5" borderId="0" xfId="0" applyFont="1" applyFill="1" applyAlignment="1">
      <alignment horizontal="right"/>
    </xf>
    <xf numFmtId="1" fontId="0" fillId="5" borderId="17" xfId="0" applyNumberFormat="1" applyFill="1" applyBorder="1" applyAlignment="1">
      <alignment horizontal="center"/>
    </xf>
    <xf numFmtId="0" fontId="0" fillId="5" borderId="18" xfId="0" applyFill="1" applyBorder="1" applyAlignment="1">
      <alignment horizontal="left"/>
    </xf>
    <xf numFmtId="0" fontId="4" fillId="5" borderId="13" xfId="0" applyFont="1" applyFill="1" applyBorder="1" applyAlignment="1">
      <alignment horizontal="right"/>
    </xf>
    <xf numFmtId="0" fontId="4" fillId="5" borderId="14" xfId="0" applyFont="1" applyFill="1" applyBorder="1" applyAlignment="1">
      <alignment horizontal="right"/>
    </xf>
    <xf numFmtId="1" fontId="0" fillId="5" borderId="15" xfId="0" applyNumberFormat="1" applyFill="1" applyBorder="1" applyAlignment="1">
      <alignment horizontal="center"/>
    </xf>
    <xf numFmtId="1" fontId="0" fillId="5" borderId="19" xfId="0" applyNumberFormat="1" applyFill="1" applyBorder="1" applyAlignment="1">
      <alignment horizontal="center"/>
    </xf>
    <xf numFmtId="164" fontId="0" fillId="5" borderId="15" xfId="0" applyNumberFormat="1" applyFill="1" applyBorder="1"/>
    <xf numFmtId="164" fontId="0" fillId="5" borderId="19" xfId="0" applyNumberFormat="1" applyFill="1" applyBorder="1"/>
    <xf numFmtId="164" fontId="0" fillId="0" borderId="15" xfId="0" applyNumberFormat="1" applyBorder="1"/>
    <xf numFmtId="164" fontId="0" fillId="0" borderId="19" xfId="0" applyNumberFormat="1" applyBorder="1"/>
    <xf numFmtId="0" fontId="2" fillId="0" borderId="0" xfId="0" applyFont="1" applyAlignment="1"/>
    <xf numFmtId="0" fontId="0" fillId="0" borderId="0" xfId="0" applyFont="1" applyAlignment="1">
      <alignment horizontal="center"/>
    </xf>
    <xf numFmtId="0" fontId="8" fillId="5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5</xdr:row>
      <xdr:rowOff>0</xdr:rowOff>
    </xdr:from>
    <xdr:to>
      <xdr:col>3</xdr:col>
      <xdr:colOff>0</xdr:colOff>
      <xdr:row>11</xdr:row>
      <xdr:rowOff>0</xdr:rowOff>
    </xdr:to>
    <xdr:sp macro="" textlink="">
      <xdr:nvSpPr>
        <xdr:cNvPr id="2" name="Donut 1"/>
        <xdr:cNvSpPr/>
      </xdr:nvSpPr>
      <xdr:spPr>
        <a:xfrm>
          <a:off x="647700" y="1057275"/>
          <a:ext cx="1181100" cy="1143000"/>
        </a:xfrm>
        <a:prstGeom prst="donut">
          <a:avLst>
            <a:gd name="adj" fmla="val 272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266700</xdr:colOff>
      <xdr:row>5</xdr:row>
      <xdr:rowOff>9525</xdr:rowOff>
    </xdr:from>
    <xdr:to>
      <xdr:col>7</xdr:col>
      <xdr:colOff>276225</xdr:colOff>
      <xdr:row>11</xdr:row>
      <xdr:rowOff>0</xdr:rowOff>
    </xdr:to>
    <xdr:sp macro="" textlink="">
      <xdr:nvSpPr>
        <xdr:cNvPr id="3" name="Rectangle 2"/>
        <xdr:cNvSpPr/>
      </xdr:nvSpPr>
      <xdr:spPr>
        <a:xfrm>
          <a:off x="2705100" y="1066800"/>
          <a:ext cx="1838325" cy="11334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381000</xdr:colOff>
      <xdr:row>4</xdr:row>
      <xdr:rowOff>66675</xdr:rowOff>
    </xdr:from>
    <xdr:to>
      <xdr:col>2</xdr:col>
      <xdr:colOff>228600</xdr:colOff>
      <xdr:row>4</xdr:row>
      <xdr:rowOff>180975</xdr:rowOff>
    </xdr:to>
    <xdr:sp macro="" textlink="">
      <xdr:nvSpPr>
        <xdr:cNvPr id="4" name="Rectangle 3"/>
        <xdr:cNvSpPr/>
      </xdr:nvSpPr>
      <xdr:spPr>
        <a:xfrm>
          <a:off x="990600" y="933450"/>
          <a:ext cx="457200" cy="11430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390525</xdr:colOff>
      <xdr:row>11</xdr:row>
      <xdr:rowOff>28575</xdr:rowOff>
    </xdr:from>
    <xdr:to>
      <xdr:col>2</xdr:col>
      <xdr:colOff>238125</xdr:colOff>
      <xdr:row>11</xdr:row>
      <xdr:rowOff>142875</xdr:rowOff>
    </xdr:to>
    <xdr:sp macro="" textlink="">
      <xdr:nvSpPr>
        <xdr:cNvPr id="5" name="Rectangle 4"/>
        <xdr:cNvSpPr/>
      </xdr:nvSpPr>
      <xdr:spPr>
        <a:xfrm>
          <a:off x="1000125" y="2228850"/>
          <a:ext cx="457200" cy="11430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9525</xdr:colOff>
      <xdr:row>6</xdr:row>
      <xdr:rowOff>161925</xdr:rowOff>
    </xdr:from>
    <xdr:to>
      <xdr:col>3</xdr:col>
      <xdr:colOff>123825</xdr:colOff>
      <xdr:row>9</xdr:row>
      <xdr:rowOff>47625</xdr:rowOff>
    </xdr:to>
    <xdr:sp macro="" textlink="">
      <xdr:nvSpPr>
        <xdr:cNvPr id="6" name="Rectangle 5"/>
        <xdr:cNvSpPr/>
      </xdr:nvSpPr>
      <xdr:spPr>
        <a:xfrm rot="5400000">
          <a:off x="1666875" y="1581150"/>
          <a:ext cx="457200" cy="11430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514350</xdr:colOff>
      <xdr:row>6</xdr:row>
      <xdr:rowOff>161925</xdr:rowOff>
    </xdr:from>
    <xdr:to>
      <xdr:col>1</xdr:col>
      <xdr:colOff>19050</xdr:colOff>
      <xdr:row>9</xdr:row>
      <xdr:rowOff>47625</xdr:rowOff>
    </xdr:to>
    <xdr:sp macro="" textlink="">
      <xdr:nvSpPr>
        <xdr:cNvPr id="7" name="Rectangle 6"/>
        <xdr:cNvSpPr/>
      </xdr:nvSpPr>
      <xdr:spPr>
        <a:xfrm rot="5400000">
          <a:off x="342900" y="1581150"/>
          <a:ext cx="457200" cy="11430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28575</xdr:colOff>
      <xdr:row>1</xdr:row>
      <xdr:rowOff>133350</xdr:rowOff>
    </xdr:from>
    <xdr:to>
      <xdr:col>6</xdr:col>
      <xdr:colOff>533400</xdr:colOff>
      <xdr:row>4</xdr:row>
      <xdr:rowOff>66676</xdr:rowOff>
    </xdr:to>
    <xdr:sp macro="" textlink="">
      <xdr:nvSpPr>
        <xdr:cNvPr id="8" name="TextBox 7"/>
        <xdr:cNvSpPr txBox="1"/>
      </xdr:nvSpPr>
      <xdr:spPr>
        <a:xfrm>
          <a:off x="3076575" y="428625"/>
          <a:ext cx="1114425" cy="504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Plastic Barrel</a:t>
          </a:r>
        </a:p>
        <a:p>
          <a:pPr algn="ctr"/>
          <a:r>
            <a:rPr lang="en-US" sz="1100"/>
            <a:t>2' dia.</a:t>
          </a:r>
          <a:r>
            <a:rPr lang="en-US" sz="1100" baseline="0"/>
            <a:t> X 3' Long </a:t>
          </a:r>
          <a:endParaRPr lang="en-US" sz="1100"/>
        </a:p>
      </xdr:txBody>
    </xdr:sp>
    <xdr:clientData/>
  </xdr:twoCellAnchor>
  <xdr:twoCellAnchor>
    <xdr:from>
      <xdr:col>4</xdr:col>
      <xdr:colOff>447675</xdr:colOff>
      <xdr:row>12</xdr:row>
      <xdr:rowOff>0</xdr:rowOff>
    </xdr:from>
    <xdr:to>
      <xdr:col>7</xdr:col>
      <xdr:colOff>114300</xdr:colOff>
      <xdr:row>14</xdr:row>
      <xdr:rowOff>133350</xdr:rowOff>
    </xdr:to>
    <xdr:sp macro="" textlink="">
      <xdr:nvSpPr>
        <xdr:cNvPr id="9" name="TextBox 8"/>
        <xdr:cNvSpPr txBox="1"/>
      </xdr:nvSpPr>
      <xdr:spPr>
        <a:xfrm>
          <a:off x="2886075" y="2390775"/>
          <a:ext cx="1495425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Slice both ends off </a:t>
          </a:r>
        </a:p>
        <a:p>
          <a:pPr algn="ctr"/>
          <a:r>
            <a:rPr lang="en-US" sz="1100"/>
            <a:t>Make (5) 6" high rings</a:t>
          </a:r>
        </a:p>
        <a:p>
          <a:pPr algn="ctr"/>
          <a:endParaRPr lang="en-US" sz="1100"/>
        </a:p>
      </xdr:txBody>
    </xdr:sp>
    <xdr:clientData/>
  </xdr:twoCellAnchor>
  <xdr:twoCellAnchor>
    <xdr:from>
      <xdr:col>0</xdr:col>
      <xdr:colOff>476250</xdr:colOff>
      <xdr:row>13</xdr:row>
      <xdr:rowOff>114300</xdr:rowOff>
    </xdr:from>
    <xdr:to>
      <xdr:col>3</xdr:col>
      <xdr:colOff>142875</xdr:colOff>
      <xdr:row>16</xdr:row>
      <xdr:rowOff>57150</xdr:rowOff>
    </xdr:to>
    <xdr:sp macro="" textlink="">
      <xdr:nvSpPr>
        <xdr:cNvPr id="11" name="TextBox 10"/>
        <xdr:cNvSpPr txBox="1"/>
      </xdr:nvSpPr>
      <xdr:spPr>
        <a:xfrm>
          <a:off x="476250" y="2695575"/>
          <a:ext cx="1495425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Bricks</a:t>
          </a:r>
          <a:r>
            <a:rPr lang="en-US" sz="1100" baseline="0"/>
            <a:t> secured to ring  with zip tie (4)</a:t>
          </a:r>
          <a:endParaRPr lang="en-US" sz="1100"/>
        </a:p>
      </xdr:txBody>
    </xdr:sp>
    <xdr:clientData/>
  </xdr:twoCellAnchor>
  <xdr:twoCellAnchor>
    <xdr:from>
      <xdr:col>2</xdr:col>
      <xdr:colOff>4763</xdr:colOff>
      <xdr:row>11</xdr:row>
      <xdr:rowOff>142875</xdr:rowOff>
    </xdr:from>
    <xdr:to>
      <xdr:col>2</xdr:col>
      <xdr:colOff>9525</xdr:colOff>
      <xdr:row>13</xdr:row>
      <xdr:rowOff>114300</xdr:rowOff>
    </xdr:to>
    <xdr:cxnSp macro="">
      <xdr:nvCxnSpPr>
        <xdr:cNvPr id="13" name="Straight Arrow Connector 12"/>
        <xdr:cNvCxnSpPr>
          <a:stCxn id="11" idx="0"/>
          <a:endCxn id="5" idx="2"/>
        </xdr:cNvCxnSpPr>
      </xdr:nvCxnSpPr>
      <xdr:spPr>
        <a:xfrm flipV="1">
          <a:off x="1223963" y="2343150"/>
          <a:ext cx="4762" cy="3524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0</xdr:rowOff>
    </xdr:from>
    <xdr:to>
      <xdr:col>9</xdr:col>
      <xdr:colOff>552450</xdr:colOff>
      <xdr:row>27</xdr:row>
      <xdr:rowOff>52705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0"/>
          <a:ext cx="5943600" cy="462470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29</xdr:row>
      <xdr:rowOff>19050</xdr:rowOff>
    </xdr:from>
    <xdr:to>
      <xdr:col>9</xdr:col>
      <xdr:colOff>542925</xdr:colOff>
      <xdr:row>40</xdr:row>
      <xdr:rowOff>139065</xdr:rowOff>
    </xdr:to>
    <xdr:pic>
      <xdr:nvPicPr>
        <xdr:cNvPr id="3" name="Picture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4972050"/>
          <a:ext cx="5943600" cy="22155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2</xdr:row>
      <xdr:rowOff>0</xdr:rowOff>
    </xdr:from>
    <xdr:to>
      <xdr:col>9</xdr:col>
      <xdr:colOff>80758</xdr:colOff>
      <xdr:row>3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428625"/>
          <a:ext cx="2804908" cy="1828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171452</xdr:rowOff>
    </xdr:from>
    <xdr:to>
      <xdr:col>6</xdr:col>
      <xdr:colOff>480764</xdr:colOff>
      <xdr:row>20</xdr:row>
      <xdr:rowOff>138237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477169" y="886746"/>
          <a:ext cx="5224585" cy="4270248"/>
        </a:xfrm>
        <a:prstGeom prst="rect">
          <a:avLst/>
        </a:prstGeom>
      </xdr:spPr>
    </xdr:pic>
    <xdr:clientData/>
  </xdr:twoCellAnchor>
  <xdr:twoCellAnchor editAs="oneCell">
    <xdr:from>
      <xdr:col>7</xdr:col>
      <xdr:colOff>247650</xdr:colOff>
      <xdr:row>2</xdr:row>
      <xdr:rowOff>0</xdr:rowOff>
    </xdr:from>
    <xdr:to>
      <xdr:col>13</xdr:col>
      <xdr:colOff>505968</xdr:colOff>
      <xdr:row>20</xdr:row>
      <xdr:rowOff>153924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850" y="485775"/>
          <a:ext cx="3915918" cy="52212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19051</xdr:rowOff>
    </xdr:from>
    <xdr:to>
      <xdr:col>13</xdr:col>
      <xdr:colOff>310075</xdr:colOff>
      <xdr:row>42</xdr:row>
      <xdr:rowOff>4230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524626"/>
          <a:ext cx="8366760" cy="34141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workbookViewId="0">
      <selection activeCell="Q35" sqref="Q35"/>
    </sheetView>
  </sheetViews>
  <sheetFormatPr defaultRowHeight="15" x14ac:dyDescent="0.25"/>
  <cols>
    <col min="1" max="1" width="22.5703125" customWidth="1"/>
    <col min="2" max="2" width="9.140625" customWidth="1"/>
    <col min="5" max="7" width="14.5703125" customWidth="1"/>
  </cols>
  <sheetData>
    <row r="1" spans="1:11" ht="23.25" x14ac:dyDescent="0.35">
      <c r="A1" s="83" t="s">
        <v>131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 x14ac:dyDescent="0.25">
      <c r="A2" s="107" t="s">
        <v>166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18.75" x14ac:dyDescent="0.3">
      <c r="C3" s="70" t="s">
        <v>146</v>
      </c>
      <c r="D3" s="70"/>
      <c r="E3" s="70"/>
      <c r="F3" s="70"/>
      <c r="G3" s="70"/>
      <c r="H3" s="70"/>
      <c r="I3" s="70"/>
      <c r="J3" s="70"/>
      <c r="K3" s="70"/>
    </row>
    <row r="4" spans="1:11" ht="21.75" customHeight="1" x14ac:dyDescent="0.25">
      <c r="C4" s="57" t="s">
        <v>145</v>
      </c>
      <c r="D4" s="57"/>
      <c r="E4" s="57" t="s">
        <v>135</v>
      </c>
      <c r="F4" s="57"/>
      <c r="G4" s="57"/>
      <c r="H4" s="57"/>
      <c r="K4" s="49"/>
    </row>
    <row r="5" spans="1:11" x14ac:dyDescent="0.25">
      <c r="C5" s="61" t="s">
        <v>136</v>
      </c>
      <c r="D5" s="62"/>
      <c r="E5" s="57" t="s">
        <v>136</v>
      </c>
      <c r="F5" s="57"/>
      <c r="G5" s="57"/>
      <c r="H5" s="57"/>
      <c r="I5" s="57" t="s">
        <v>147</v>
      </c>
      <c r="J5" s="57"/>
      <c r="K5" s="49"/>
    </row>
    <row r="6" spans="1:11" x14ac:dyDescent="0.25">
      <c r="C6" s="53" t="s">
        <v>144</v>
      </c>
      <c r="D6" s="53" t="s">
        <v>47</v>
      </c>
      <c r="E6" s="53" t="s">
        <v>47</v>
      </c>
      <c r="F6" s="53" t="s">
        <v>70</v>
      </c>
      <c r="G6" s="53" t="s">
        <v>67</v>
      </c>
      <c r="H6" s="53" t="s">
        <v>71</v>
      </c>
      <c r="I6" s="61" t="s">
        <v>71</v>
      </c>
      <c r="J6" s="62"/>
      <c r="K6" s="49"/>
    </row>
    <row r="7" spans="1:11" x14ac:dyDescent="0.25">
      <c r="A7" s="65" t="s">
        <v>43</v>
      </c>
      <c r="B7" s="65"/>
      <c r="C7" s="50" t="s">
        <v>49</v>
      </c>
      <c r="D7" s="50" t="s">
        <v>50</v>
      </c>
      <c r="E7" s="57" t="s">
        <v>49</v>
      </c>
      <c r="F7" s="57"/>
      <c r="G7" s="57"/>
      <c r="H7" s="57"/>
      <c r="I7" s="61" t="s">
        <v>49</v>
      </c>
      <c r="J7" s="62"/>
      <c r="K7" s="50" t="s">
        <v>71</v>
      </c>
    </row>
    <row r="8" spans="1:11" x14ac:dyDescent="0.25">
      <c r="A8" s="66" t="s">
        <v>98</v>
      </c>
      <c r="B8" s="66"/>
      <c r="C8" s="51">
        <f>'LCS^2_Components'!D4</f>
        <v>3</v>
      </c>
      <c r="D8" s="51">
        <f>'LCS^2_Components'!E4</f>
        <v>4.3323403292181073</v>
      </c>
      <c r="E8" s="52">
        <f>'LCS^2_Components'!H4</f>
        <v>0.73333333333333339</v>
      </c>
      <c r="F8" s="52">
        <f>'LCS^2_Components'!I4</f>
        <v>0.5</v>
      </c>
      <c r="G8" s="52">
        <f>'LCS^2_Components'!J4</f>
        <v>0.7</v>
      </c>
      <c r="H8" s="52">
        <f>'LCS^2_Components'!K4</f>
        <v>1.9333333333333331</v>
      </c>
      <c r="I8" s="72">
        <f>E8*18+F8*24+G8*10</f>
        <v>32.200000000000003</v>
      </c>
      <c r="J8" s="73"/>
      <c r="K8" s="51">
        <f>I8+D8+C8</f>
        <v>39.532340329218108</v>
      </c>
    </row>
    <row r="9" spans="1:11" x14ac:dyDescent="0.25">
      <c r="A9" s="66" t="s">
        <v>54</v>
      </c>
      <c r="B9" s="66"/>
      <c r="C9" s="51">
        <f>'LCS^2_Components'!D16</f>
        <v>0</v>
      </c>
      <c r="D9" s="51">
        <f>'LCS^2_Components'!E16</f>
        <v>51.535499999999999</v>
      </c>
      <c r="E9" s="52">
        <f>'LCS^2_Components'!H16</f>
        <v>1.8</v>
      </c>
      <c r="F9" s="52">
        <f>'LCS^2_Components'!I16</f>
        <v>1</v>
      </c>
      <c r="G9" s="52">
        <f>'LCS^2_Components'!J16</f>
        <v>2.2999999999999998</v>
      </c>
      <c r="H9" s="52">
        <f>'LCS^2_Components'!K16</f>
        <v>5.3666666666666663</v>
      </c>
      <c r="I9" s="72">
        <f t="shared" ref="I9:I12" si="0">E9*18+F9*24+G9*10</f>
        <v>79.400000000000006</v>
      </c>
      <c r="J9" s="73"/>
      <c r="K9" s="51">
        <f t="shared" ref="K9:K12" si="1">I9+D9+C9</f>
        <v>130.93549999999999</v>
      </c>
    </row>
    <row r="10" spans="1:11" x14ac:dyDescent="0.25">
      <c r="A10" s="66" t="s">
        <v>96</v>
      </c>
      <c r="B10" s="66"/>
      <c r="C10" s="51">
        <f>'LCS^2_Components'!D30</f>
        <v>0</v>
      </c>
      <c r="D10" s="51">
        <f>'LCS^2_Components'!E30</f>
        <v>31.788599999999999</v>
      </c>
      <c r="E10" s="52">
        <f>'LCS^2_Components'!H30</f>
        <v>2.65</v>
      </c>
      <c r="F10" s="52">
        <f>'LCS^2_Components'!I30</f>
        <v>2.8125</v>
      </c>
      <c r="G10" s="52">
        <f>'LCS^2_Components'!J30</f>
        <v>1.75</v>
      </c>
      <c r="H10" s="52">
        <f>'LCS^2_Components'!K30</f>
        <v>7.2125000000000004</v>
      </c>
      <c r="I10" s="72">
        <f t="shared" si="0"/>
        <v>132.69999999999999</v>
      </c>
      <c r="J10" s="73"/>
      <c r="K10" s="51">
        <f t="shared" si="1"/>
        <v>164.48859999999999</v>
      </c>
    </row>
    <row r="11" spans="1:11" x14ac:dyDescent="0.25">
      <c r="A11" s="74" t="s">
        <v>111</v>
      </c>
      <c r="B11" s="74"/>
      <c r="C11" s="75">
        <f>'LCS^2_Components'!D41</f>
        <v>15</v>
      </c>
      <c r="D11" s="75">
        <f>'LCS^2_Components'!E41</f>
        <v>15.306970164609053</v>
      </c>
      <c r="E11" s="76">
        <f>'LCS^2_Components'!H41</f>
        <v>1.1333333333333333</v>
      </c>
      <c r="F11" s="76">
        <f>'LCS^2_Components'!I41</f>
        <v>1</v>
      </c>
      <c r="G11" s="76">
        <f>'LCS^2_Components'!J41</f>
        <v>2.6</v>
      </c>
      <c r="H11" s="76">
        <f>'LCS^2_Components'!K41</f>
        <v>4.7333333333333343</v>
      </c>
      <c r="I11" s="77">
        <f t="shared" si="0"/>
        <v>70.400000000000006</v>
      </c>
      <c r="J11" s="78"/>
      <c r="K11" s="75">
        <f t="shared" si="1"/>
        <v>100.70697016460906</v>
      </c>
    </row>
    <row r="12" spans="1:11" x14ac:dyDescent="0.25">
      <c r="A12" s="66" t="s">
        <v>122</v>
      </c>
      <c r="B12" s="66"/>
      <c r="C12" s="51">
        <f>'LCS^2_Components'!D52</f>
        <v>0</v>
      </c>
      <c r="D12" s="51">
        <f>'LCS^2_Components'!E52</f>
        <v>32.146970164609058</v>
      </c>
      <c r="E12" s="52">
        <f>'LCS^2_Components'!H52</f>
        <v>0.53333333333333333</v>
      </c>
      <c r="F12" s="52">
        <f>'LCS^2_Components'!I52</f>
        <v>0.5</v>
      </c>
      <c r="G12" s="52">
        <f>'LCS^2_Components'!J52</f>
        <v>0</v>
      </c>
      <c r="H12" s="52">
        <f>'LCS^2_Components'!K52</f>
        <v>1.0333333333333332</v>
      </c>
      <c r="I12" s="71">
        <f t="shared" si="0"/>
        <v>21.6</v>
      </c>
      <c r="J12" s="71"/>
      <c r="K12" s="51">
        <f t="shared" si="1"/>
        <v>53.74697016460906</v>
      </c>
    </row>
    <row r="13" spans="1:11" x14ac:dyDescent="0.25">
      <c r="A13" s="67"/>
      <c r="B13" s="67"/>
      <c r="C13" s="79"/>
      <c r="D13" s="79"/>
      <c r="E13" s="80"/>
      <c r="F13" s="80"/>
      <c r="G13" s="80"/>
      <c r="H13" s="80"/>
      <c r="I13" s="81"/>
      <c r="J13" s="81"/>
      <c r="K13" s="82"/>
    </row>
    <row r="14" spans="1:11" ht="18.75" x14ac:dyDescent="0.3">
      <c r="A14" s="63"/>
      <c r="C14" s="70" t="s">
        <v>151</v>
      </c>
      <c r="D14" s="70"/>
      <c r="E14" s="70"/>
      <c r="F14" s="70"/>
      <c r="G14" s="70"/>
      <c r="H14" s="70"/>
      <c r="I14" s="70"/>
      <c r="J14" s="70"/>
      <c r="K14" s="70"/>
    </row>
    <row r="15" spans="1:11" x14ac:dyDescent="0.25">
      <c r="C15" s="57" t="s">
        <v>158</v>
      </c>
      <c r="D15" s="57"/>
      <c r="E15" s="57" t="s">
        <v>147</v>
      </c>
      <c r="F15" s="57"/>
      <c r="G15" s="57"/>
      <c r="H15" s="57"/>
      <c r="I15" s="57" t="s">
        <v>159</v>
      </c>
      <c r="J15" s="57"/>
      <c r="K15" s="53" t="s">
        <v>71</v>
      </c>
    </row>
    <row r="16" spans="1:11" x14ac:dyDescent="0.25">
      <c r="B16" s="84" t="s">
        <v>148</v>
      </c>
      <c r="C16" s="53" t="s">
        <v>49</v>
      </c>
      <c r="D16" s="53" t="s">
        <v>50</v>
      </c>
      <c r="E16" s="53" t="s">
        <v>155</v>
      </c>
      <c r="F16" s="53" t="s">
        <v>156</v>
      </c>
      <c r="G16" s="53" t="s">
        <v>157</v>
      </c>
      <c r="H16" s="53" t="s">
        <v>71</v>
      </c>
      <c r="I16" s="53" t="s">
        <v>49</v>
      </c>
      <c r="J16" s="53" t="s">
        <v>50</v>
      </c>
      <c r="K16" s="69" t="s">
        <v>149</v>
      </c>
    </row>
    <row r="17" spans="1:11" x14ac:dyDescent="0.25">
      <c r="A17" s="49" t="s">
        <v>98</v>
      </c>
      <c r="B17" s="68">
        <v>8</v>
      </c>
      <c r="C17" s="54">
        <f>C8*$B17</f>
        <v>24</v>
      </c>
      <c r="D17" s="54">
        <f>D8*$B17</f>
        <v>34.658722633744858</v>
      </c>
      <c r="E17" s="54">
        <f>E8*$B17*18</f>
        <v>105.60000000000001</v>
      </c>
      <c r="F17" s="54">
        <f>F8*$B17*24</f>
        <v>96</v>
      </c>
      <c r="G17" s="54">
        <f>G8*$B17*10</f>
        <v>56</v>
      </c>
      <c r="H17" s="54">
        <f>SUM(E17:G17)</f>
        <v>257.60000000000002</v>
      </c>
      <c r="I17" s="54">
        <f>C17+H17</f>
        <v>281.60000000000002</v>
      </c>
      <c r="J17" s="54">
        <f>D17</f>
        <v>34.658722633744858</v>
      </c>
      <c r="K17" s="54">
        <f>I17+J17</f>
        <v>316.25872263374487</v>
      </c>
    </row>
    <row r="18" spans="1:11" x14ac:dyDescent="0.25">
      <c r="A18" s="49" t="s">
        <v>54</v>
      </c>
      <c r="B18" s="68">
        <v>4</v>
      </c>
      <c r="C18" s="54">
        <f>C9*$B18</f>
        <v>0</v>
      </c>
      <c r="D18" s="54">
        <f>D9*$B18</f>
        <v>206.142</v>
      </c>
      <c r="E18" s="54">
        <f>E9*$B18*18</f>
        <v>129.6</v>
      </c>
      <c r="F18" s="54">
        <f>F9*$B18*24</f>
        <v>96</v>
      </c>
      <c r="G18" s="54">
        <f>G9*$B18*10</f>
        <v>92</v>
      </c>
      <c r="H18" s="54">
        <f t="shared" ref="H18:H21" si="2">SUM(E18:G18)</f>
        <v>317.60000000000002</v>
      </c>
      <c r="I18" s="54">
        <f t="shared" ref="I18:I21" si="3">C18+H18</f>
        <v>317.60000000000002</v>
      </c>
      <c r="J18" s="54">
        <f t="shared" ref="J18:J21" si="4">D18</f>
        <v>206.142</v>
      </c>
      <c r="K18" s="54">
        <f t="shared" ref="K18:K21" si="5">I18+J18</f>
        <v>523.74199999999996</v>
      </c>
    </row>
    <row r="19" spans="1:11" x14ac:dyDescent="0.25">
      <c r="A19" s="49" t="s">
        <v>96</v>
      </c>
      <c r="B19" s="68">
        <v>8</v>
      </c>
      <c r="C19" s="54">
        <f>C10*$B19</f>
        <v>0</v>
      </c>
      <c r="D19" s="54">
        <f>D10*$B19</f>
        <v>254.30879999999999</v>
      </c>
      <c r="E19" s="54">
        <f>E10*$B19*18</f>
        <v>381.59999999999997</v>
      </c>
      <c r="F19" s="54">
        <f>F10*$B19*24</f>
        <v>540</v>
      </c>
      <c r="G19" s="54">
        <f>G10*$B19*10</f>
        <v>140</v>
      </c>
      <c r="H19" s="54">
        <f t="shared" si="2"/>
        <v>1061.5999999999999</v>
      </c>
      <c r="I19" s="54">
        <f t="shared" si="3"/>
        <v>1061.5999999999999</v>
      </c>
      <c r="J19" s="54">
        <f t="shared" si="4"/>
        <v>254.30879999999999</v>
      </c>
      <c r="K19" s="54">
        <f t="shared" si="5"/>
        <v>1315.9087999999999</v>
      </c>
    </row>
    <row r="20" spans="1:11" x14ac:dyDescent="0.25">
      <c r="A20" s="49" t="s">
        <v>111</v>
      </c>
      <c r="B20" s="68">
        <v>20</v>
      </c>
      <c r="C20" s="54">
        <f>C11*$B20</f>
        <v>300</v>
      </c>
      <c r="D20" s="54">
        <f>D11*$B20</f>
        <v>306.13940329218104</v>
      </c>
      <c r="E20" s="54">
        <f>E11*$B20*18</f>
        <v>407.99999999999994</v>
      </c>
      <c r="F20" s="54">
        <f>F11*$B20*24</f>
        <v>480</v>
      </c>
      <c r="G20" s="54">
        <f>G11*$B20*10</f>
        <v>520</v>
      </c>
      <c r="H20" s="54">
        <f t="shared" si="2"/>
        <v>1408</v>
      </c>
      <c r="I20" s="54">
        <f t="shared" si="3"/>
        <v>1708</v>
      </c>
      <c r="J20" s="54">
        <f t="shared" si="4"/>
        <v>306.13940329218104</v>
      </c>
      <c r="K20" s="54">
        <f t="shared" si="5"/>
        <v>2014.139403292181</v>
      </c>
    </row>
    <row r="21" spans="1:11" ht="15.75" thickBot="1" x14ac:dyDescent="0.3">
      <c r="A21" s="49" t="s">
        <v>122</v>
      </c>
      <c r="B21" s="68">
        <v>5</v>
      </c>
      <c r="C21" s="105">
        <f>C12*$B21</f>
        <v>0</v>
      </c>
      <c r="D21" s="105">
        <f>D12*$B21</f>
        <v>160.73485082304529</v>
      </c>
      <c r="E21" s="105">
        <f>E12*$B21*18</f>
        <v>48</v>
      </c>
      <c r="F21" s="105">
        <f>F12*$B21*24</f>
        <v>60</v>
      </c>
      <c r="G21" s="105">
        <f>G12*$B21*10</f>
        <v>0</v>
      </c>
      <c r="H21" s="105">
        <f t="shared" si="2"/>
        <v>108</v>
      </c>
      <c r="I21" s="105">
        <f t="shared" si="3"/>
        <v>108</v>
      </c>
      <c r="J21" s="105">
        <f t="shared" si="4"/>
        <v>160.73485082304529</v>
      </c>
      <c r="K21" s="105">
        <f t="shared" si="5"/>
        <v>268.73485082304529</v>
      </c>
    </row>
    <row r="22" spans="1:11" ht="18.75" x14ac:dyDescent="0.3">
      <c r="B22" s="47" t="s">
        <v>150</v>
      </c>
      <c r="C22" s="104">
        <f>SUM(C17:C21)</f>
        <v>324</v>
      </c>
      <c r="D22" s="104">
        <f t="shared" ref="D22:G22" si="6">SUM(D17:D21)</f>
        <v>961.9837767489712</v>
      </c>
      <c r="E22" s="104">
        <f>SUM(E17:E21)</f>
        <v>1072.8</v>
      </c>
      <c r="F22" s="104">
        <f t="shared" ref="F22:H22" si="7">SUM(F17:F21)</f>
        <v>1272</v>
      </c>
      <c r="G22" s="104">
        <f t="shared" si="7"/>
        <v>808</v>
      </c>
      <c r="H22" s="104">
        <f t="shared" si="7"/>
        <v>3152.8</v>
      </c>
      <c r="I22" s="104">
        <f>SUM(I17:I21)</f>
        <v>3476.8</v>
      </c>
      <c r="J22" s="104">
        <f>SUM(J17:J21)</f>
        <v>961.9837767489712</v>
      </c>
      <c r="K22" s="104">
        <f>SUM(K17:K21)</f>
        <v>4438.7837767489709</v>
      </c>
    </row>
    <row r="24" spans="1:11" ht="18.75" x14ac:dyDescent="0.3">
      <c r="A24" s="63"/>
      <c r="C24" s="70" t="s">
        <v>160</v>
      </c>
      <c r="D24" s="70"/>
      <c r="E24" s="70"/>
      <c r="F24" s="70"/>
      <c r="G24" s="70"/>
      <c r="H24" s="70"/>
      <c r="I24" s="70"/>
      <c r="J24" s="70"/>
      <c r="K24" s="70"/>
    </row>
    <row r="25" spans="1:11" x14ac:dyDescent="0.25">
      <c r="C25" s="57" t="s">
        <v>138</v>
      </c>
      <c r="D25" s="57"/>
      <c r="E25" s="57" t="s">
        <v>147</v>
      </c>
      <c r="F25" s="57"/>
      <c r="G25" s="57"/>
      <c r="H25" s="57"/>
      <c r="I25" s="57" t="s">
        <v>159</v>
      </c>
      <c r="J25" s="57"/>
      <c r="K25" s="53" t="s">
        <v>71</v>
      </c>
    </row>
    <row r="26" spans="1:11" x14ac:dyDescent="0.25">
      <c r="A26" s="65" t="s">
        <v>43</v>
      </c>
      <c r="B26" s="65"/>
      <c r="C26" s="53" t="s">
        <v>49</v>
      </c>
      <c r="D26" s="53" t="s">
        <v>50</v>
      </c>
      <c r="E26" s="53" t="s">
        <v>155</v>
      </c>
      <c r="F26" s="53" t="s">
        <v>156</v>
      </c>
      <c r="G26" s="53" t="s">
        <v>157</v>
      </c>
      <c r="H26" s="53" t="s">
        <v>71</v>
      </c>
      <c r="I26" s="53" t="s">
        <v>49</v>
      </c>
      <c r="J26" s="53" t="s">
        <v>50</v>
      </c>
      <c r="K26" s="69" t="s">
        <v>149</v>
      </c>
    </row>
    <row r="27" spans="1:11" x14ac:dyDescent="0.25">
      <c r="A27" s="66" t="s">
        <v>98</v>
      </c>
      <c r="B27" s="66"/>
      <c r="C27" s="54">
        <f>6*C17</f>
        <v>144</v>
      </c>
      <c r="D27" s="54">
        <f t="shared" ref="D27:G27" si="8">6*D17</f>
        <v>207.95233580246915</v>
      </c>
      <c r="E27" s="54">
        <f>E17*6</f>
        <v>633.6</v>
      </c>
      <c r="F27" s="54">
        <f t="shared" ref="F27:G27" si="9">F17*6</f>
        <v>576</v>
      </c>
      <c r="G27" s="54">
        <f t="shared" si="9"/>
        <v>336</v>
      </c>
      <c r="H27" s="54">
        <f>SUM(E27:G27)</f>
        <v>1545.6</v>
      </c>
      <c r="I27" s="54">
        <f>6*I17</f>
        <v>1689.6000000000001</v>
      </c>
      <c r="J27" s="54">
        <f>6*J17</f>
        <v>207.95233580246915</v>
      </c>
      <c r="K27" s="54">
        <f>6*K17</f>
        <v>1897.5523358024693</v>
      </c>
    </row>
    <row r="28" spans="1:11" x14ac:dyDescent="0.25">
      <c r="A28" s="66" t="s">
        <v>54</v>
      </c>
      <c r="B28" s="66"/>
      <c r="C28" s="54">
        <f t="shared" ref="C28:G28" si="10">6*C18</f>
        <v>0</v>
      </c>
      <c r="D28" s="54">
        <f t="shared" si="10"/>
        <v>1236.8519999999999</v>
      </c>
      <c r="E28" s="54">
        <f t="shared" ref="E28:G28" si="11">E18*6</f>
        <v>777.59999999999991</v>
      </c>
      <c r="F28" s="54">
        <f t="shared" si="11"/>
        <v>576</v>
      </c>
      <c r="G28" s="54">
        <f t="shared" si="11"/>
        <v>552</v>
      </c>
      <c r="H28" s="54">
        <f t="shared" ref="H28:H31" si="12">SUM(E28:G28)</f>
        <v>1905.6</v>
      </c>
      <c r="I28" s="54">
        <f>6*I18</f>
        <v>1905.6000000000001</v>
      </c>
      <c r="J28" s="54">
        <f>6*J18</f>
        <v>1236.8519999999999</v>
      </c>
      <c r="K28" s="54">
        <f>6*K18</f>
        <v>3142.4519999999998</v>
      </c>
    </row>
    <row r="29" spans="1:11" x14ac:dyDescent="0.25">
      <c r="A29" s="66" t="s">
        <v>96</v>
      </c>
      <c r="B29" s="66"/>
      <c r="C29" s="54">
        <f t="shared" ref="C29:G29" si="13">6*C19</f>
        <v>0</v>
      </c>
      <c r="D29" s="54">
        <f t="shared" si="13"/>
        <v>1525.8527999999999</v>
      </c>
      <c r="E29" s="54">
        <f t="shared" ref="E29:G29" si="14">E19*6</f>
        <v>2289.6</v>
      </c>
      <c r="F29" s="54">
        <f t="shared" si="14"/>
        <v>3240</v>
      </c>
      <c r="G29" s="54">
        <f t="shared" si="14"/>
        <v>840</v>
      </c>
      <c r="H29" s="54">
        <f t="shared" si="12"/>
        <v>6369.6</v>
      </c>
      <c r="I29" s="54">
        <f>6*I19</f>
        <v>6369.5999999999995</v>
      </c>
      <c r="J29" s="54">
        <f>6*J19</f>
        <v>1525.8527999999999</v>
      </c>
      <c r="K29" s="54">
        <f>6*K19</f>
        <v>7895.4527999999991</v>
      </c>
    </row>
    <row r="30" spans="1:11" x14ac:dyDescent="0.25">
      <c r="A30" s="66" t="s">
        <v>111</v>
      </c>
      <c r="B30" s="66"/>
      <c r="C30" s="54">
        <f t="shared" ref="C30:G30" si="15">6*C20</f>
        <v>1800</v>
      </c>
      <c r="D30" s="54">
        <f t="shared" si="15"/>
        <v>1836.8364197530864</v>
      </c>
      <c r="E30" s="54">
        <f t="shared" ref="E30:G30" si="16">E20*6</f>
        <v>2447.9999999999995</v>
      </c>
      <c r="F30" s="54">
        <f t="shared" si="16"/>
        <v>2880</v>
      </c>
      <c r="G30" s="54">
        <f t="shared" si="16"/>
        <v>3120</v>
      </c>
      <c r="H30" s="54">
        <f t="shared" si="12"/>
        <v>8448</v>
      </c>
      <c r="I30" s="54">
        <f>6*I20</f>
        <v>10248</v>
      </c>
      <c r="J30" s="54">
        <f>6*J20</f>
        <v>1836.8364197530864</v>
      </c>
      <c r="K30" s="54">
        <f>6*K20</f>
        <v>12084.836419753086</v>
      </c>
    </row>
    <row r="31" spans="1:11" ht="15.75" thickBot="1" x14ac:dyDescent="0.3">
      <c r="A31" s="66" t="s">
        <v>122</v>
      </c>
      <c r="B31" s="66"/>
      <c r="C31" s="105">
        <f t="shared" ref="C31:G31" si="17">6*C21</f>
        <v>0</v>
      </c>
      <c r="D31" s="105">
        <f t="shared" si="17"/>
        <v>964.40910493827175</v>
      </c>
      <c r="E31" s="105">
        <f t="shared" ref="E31:G31" si="18">E21*6</f>
        <v>288</v>
      </c>
      <c r="F31" s="105">
        <f t="shared" si="18"/>
        <v>360</v>
      </c>
      <c r="G31" s="105">
        <f t="shared" si="18"/>
        <v>0</v>
      </c>
      <c r="H31" s="105">
        <f t="shared" si="12"/>
        <v>648</v>
      </c>
      <c r="I31" s="105">
        <f>6*I21</f>
        <v>648</v>
      </c>
      <c r="J31" s="105">
        <f>6*J21</f>
        <v>964.40910493827175</v>
      </c>
      <c r="K31" s="105">
        <f>6*K21</f>
        <v>1612.4091049382719</v>
      </c>
    </row>
    <row r="32" spans="1:11" ht="18.75" x14ac:dyDescent="0.3">
      <c r="A32" s="67"/>
      <c r="B32" s="47" t="s">
        <v>152</v>
      </c>
      <c r="C32" s="46">
        <f>SUM(C27:C31)</f>
        <v>1944</v>
      </c>
      <c r="D32" s="46">
        <f t="shared" ref="D32:G32" si="19">SUM(D27:D31)</f>
        <v>5771.9026604938263</v>
      </c>
      <c r="E32" s="104">
        <f>SUM(E27:E31)</f>
        <v>6436.7999999999993</v>
      </c>
      <c r="F32" s="104">
        <f t="shared" ref="F32:H32" si="20">SUM(F27:F31)</f>
        <v>7632</v>
      </c>
      <c r="G32" s="104">
        <f t="shared" si="20"/>
        <v>4848</v>
      </c>
      <c r="H32" s="104">
        <f t="shared" si="20"/>
        <v>18916.8</v>
      </c>
      <c r="I32" s="46">
        <f>SUM(I27:I31)</f>
        <v>20860.8</v>
      </c>
      <c r="J32" s="46">
        <f>SUM(J27:J31)</f>
        <v>5771.9026604938263</v>
      </c>
      <c r="K32" s="46">
        <f>SUM(K27:K31)</f>
        <v>26632.702660493826</v>
      </c>
    </row>
    <row r="34" spans="1:11" ht="18.75" x14ac:dyDescent="0.3">
      <c r="A34" s="63"/>
      <c r="C34" s="86" t="s">
        <v>153</v>
      </c>
      <c r="D34" s="86"/>
      <c r="E34" s="86"/>
      <c r="F34" s="86"/>
      <c r="G34" s="86"/>
      <c r="H34" s="86"/>
      <c r="I34" s="86"/>
      <c r="J34" s="86"/>
      <c r="K34" s="86"/>
    </row>
    <row r="35" spans="1:11" x14ac:dyDescent="0.25">
      <c r="C35" s="87" t="s">
        <v>138</v>
      </c>
      <c r="D35" s="88"/>
      <c r="E35" s="87" t="s">
        <v>161</v>
      </c>
      <c r="F35" s="89"/>
      <c r="G35" s="89"/>
      <c r="H35" s="88"/>
      <c r="I35" s="87" t="s">
        <v>159</v>
      </c>
      <c r="J35" s="88"/>
      <c r="K35" s="55" t="s">
        <v>71</v>
      </c>
    </row>
    <row r="36" spans="1:11" x14ac:dyDescent="0.25">
      <c r="A36" s="90" t="s">
        <v>43</v>
      </c>
      <c r="B36" s="91"/>
      <c r="C36" s="55" t="s">
        <v>49</v>
      </c>
      <c r="D36" s="55" t="s">
        <v>50</v>
      </c>
      <c r="E36" s="55" t="s">
        <v>155</v>
      </c>
      <c r="F36" s="55" t="s">
        <v>156</v>
      </c>
      <c r="G36" s="55" t="s">
        <v>157</v>
      </c>
      <c r="H36" s="55" t="s">
        <v>71</v>
      </c>
      <c r="I36" s="55" t="s">
        <v>49</v>
      </c>
      <c r="J36" s="55" t="s">
        <v>50</v>
      </c>
      <c r="K36" s="55" t="s">
        <v>149</v>
      </c>
    </row>
    <row r="37" spans="1:11" x14ac:dyDescent="0.25">
      <c r="A37" s="92" t="s">
        <v>98</v>
      </c>
      <c r="B37" s="93"/>
      <c r="C37" s="56">
        <f>C27</f>
        <v>144</v>
      </c>
      <c r="D37" s="56">
        <f t="shared" ref="D37:K37" si="21">D27</f>
        <v>207.95233580246915</v>
      </c>
      <c r="E37" s="56">
        <f t="shared" si="21"/>
        <v>633.6</v>
      </c>
      <c r="F37" s="56">
        <f t="shared" si="21"/>
        <v>576</v>
      </c>
      <c r="G37" s="56">
        <f t="shared" si="21"/>
        <v>336</v>
      </c>
      <c r="H37" s="56">
        <f t="shared" si="21"/>
        <v>1545.6</v>
      </c>
      <c r="I37" s="56">
        <f t="shared" si="21"/>
        <v>1689.6000000000001</v>
      </c>
      <c r="J37" s="56">
        <f t="shared" si="21"/>
        <v>207.95233580246915</v>
      </c>
      <c r="K37" s="56">
        <f t="shared" si="21"/>
        <v>1897.5523358024693</v>
      </c>
    </row>
    <row r="38" spans="1:11" x14ac:dyDescent="0.25">
      <c r="A38" s="92" t="s">
        <v>54</v>
      </c>
      <c r="B38" s="93"/>
      <c r="C38" s="56">
        <f t="shared" ref="C38:K38" si="22">C28</f>
        <v>0</v>
      </c>
      <c r="D38" s="56">
        <f t="shared" si="22"/>
        <v>1236.8519999999999</v>
      </c>
      <c r="E38" s="56">
        <f t="shared" si="22"/>
        <v>777.59999999999991</v>
      </c>
      <c r="F38" s="56">
        <f t="shared" si="22"/>
        <v>576</v>
      </c>
      <c r="G38" s="56">
        <f t="shared" si="22"/>
        <v>552</v>
      </c>
      <c r="H38" s="56">
        <f t="shared" si="22"/>
        <v>1905.6</v>
      </c>
      <c r="I38" s="56">
        <f t="shared" si="22"/>
        <v>1905.6000000000001</v>
      </c>
      <c r="J38" s="56">
        <f t="shared" si="22"/>
        <v>1236.8519999999999</v>
      </c>
      <c r="K38" s="56">
        <f t="shared" si="22"/>
        <v>3142.4519999999998</v>
      </c>
    </row>
    <row r="39" spans="1:11" ht="15.75" thickBot="1" x14ac:dyDescent="0.3">
      <c r="A39" s="92" t="s">
        <v>96</v>
      </c>
      <c r="B39" s="93"/>
      <c r="C39" s="103">
        <f t="shared" ref="C39:K39" si="23">C29</f>
        <v>0</v>
      </c>
      <c r="D39" s="103">
        <f t="shared" si="23"/>
        <v>1525.8527999999999</v>
      </c>
      <c r="E39" s="103">
        <f t="shared" si="23"/>
        <v>2289.6</v>
      </c>
      <c r="F39" s="103">
        <f t="shared" si="23"/>
        <v>3240</v>
      </c>
      <c r="G39" s="103">
        <f t="shared" si="23"/>
        <v>840</v>
      </c>
      <c r="H39" s="103">
        <f t="shared" si="23"/>
        <v>6369.6</v>
      </c>
      <c r="I39" s="103">
        <f t="shared" si="23"/>
        <v>6369.5999999999995</v>
      </c>
      <c r="J39" s="103">
        <f t="shared" si="23"/>
        <v>1525.8527999999999</v>
      </c>
      <c r="K39" s="103">
        <f t="shared" si="23"/>
        <v>7895.4527999999991</v>
      </c>
    </row>
    <row r="40" spans="1:11" ht="18.75" x14ac:dyDescent="0.3">
      <c r="A40" s="94"/>
      <c r="B40" s="95" t="s">
        <v>154</v>
      </c>
      <c r="C40" s="102">
        <f>SUM(C37:C39)</f>
        <v>144</v>
      </c>
      <c r="D40" s="102">
        <f t="shared" ref="D40:K40" si="24">SUM(D37:D39)</f>
        <v>2970.6571358024689</v>
      </c>
      <c r="E40" s="102">
        <f t="shared" si="24"/>
        <v>3700.7999999999997</v>
      </c>
      <c r="F40" s="102">
        <f t="shared" si="24"/>
        <v>4392</v>
      </c>
      <c r="G40" s="102">
        <f t="shared" si="24"/>
        <v>1728</v>
      </c>
      <c r="H40" s="102">
        <f t="shared" si="24"/>
        <v>9820.7999999999993</v>
      </c>
      <c r="I40" s="102">
        <f t="shared" si="24"/>
        <v>9964.7999999999993</v>
      </c>
      <c r="J40" s="102">
        <f t="shared" si="24"/>
        <v>2970.6571358024689</v>
      </c>
      <c r="K40" s="102">
        <f t="shared" si="24"/>
        <v>12935.457135802468</v>
      </c>
    </row>
    <row r="42" spans="1:11" ht="18.75" x14ac:dyDescent="0.3">
      <c r="A42" s="64"/>
      <c r="B42" s="64"/>
      <c r="E42" s="86" t="s">
        <v>162</v>
      </c>
      <c r="F42" s="86"/>
      <c r="G42" s="86"/>
      <c r="H42" s="86"/>
    </row>
    <row r="43" spans="1:11" x14ac:dyDescent="0.25">
      <c r="A43" s="64"/>
      <c r="B43" s="64"/>
      <c r="E43" s="87" t="s">
        <v>163</v>
      </c>
      <c r="F43" s="89"/>
      <c r="G43" s="89"/>
      <c r="H43" s="88"/>
    </row>
    <row r="44" spans="1:11" x14ac:dyDescent="0.25">
      <c r="A44" s="64"/>
      <c r="B44" s="90" t="s">
        <v>43</v>
      </c>
      <c r="C44" s="97"/>
      <c r="D44" s="91"/>
      <c r="E44" s="55" t="s">
        <v>47</v>
      </c>
      <c r="F44" s="55" t="s">
        <v>70</v>
      </c>
      <c r="G44" s="55" t="s">
        <v>67</v>
      </c>
      <c r="H44" s="55" t="s">
        <v>71</v>
      </c>
    </row>
    <row r="45" spans="1:11" x14ac:dyDescent="0.25">
      <c r="A45" s="85"/>
      <c r="B45" s="90" t="s">
        <v>98</v>
      </c>
      <c r="C45" s="97"/>
      <c r="D45" s="91"/>
      <c r="E45" s="96">
        <f>E37/18</f>
        <v>35.200000000000003</v>
      </c>
      <c r="F45" s="96">
        <f>F37/24</f>
        <v>24</v>
      </c>
      <c r="G45" s="96">
        <f>G37/10</f>
        <v>33.6</v>
      </c>
      <c r="H45" s="96">
        <f>SUM(E45:G45)</f>
        <v>92.800000000000011</v>
      </c>
    </row>
    <row r="46" spans="1:11" x14ac:dyDescent="0.25">
      <c r="A46" s="64"/>
      <c r="B46" s="90" t="s">
        <v>54</v>
      </c>
      <c r="C46" s="97"/>
      <c r="D46" s="91"/>
      <c r="E46" s="96">
        <f t="shared" ref="E46:E47" si="25">E38/18</f>
        <v>43.199999999999996</v>
      </c>
      <c r="F46" s="96">
        <f t="shared" ref="F46:F47" si="26">F38/24</f>
        <v>24</v>
      </c>
      <c r="G46" s="96">
        <f t="shared" ref="G46:G47" si="27">G38/10</f>
        <v>55.2</v>
      </c>
      <c r="H46" s="96">
        <f t="shared" ref="H46:H47" si="28">SUM(E46:G46)</f>
        <v>122.39999999999999</v>
      </c>
    </row>
    <row r="47" spans="1:11" ht="15.75" thickBot="1" x14ac:dyDescent="0.3">
      <c r="A47" s="64"/>
      <c r="B47" s="90" t="s">
        <v>96</v>
      </c>
      <c r="C47" s="97"/>
      <c r="D47" s="91"/>
      <c r="E47" s="101">
        <f t="shared" si="25"/>
        <v>127.19999999999999</v>
      </c>
      <c r="F47" s="101">
        <f t="shared" si="26"/>
        <v>135</v>
      </c>
      <c r="G47" s="101">
        <f t="shared" si="27"/>
        <v>84</v>
      </c>
      <c r="H47" s="101">
        <f t="shared" si="28"/>
        <v>346.2</v>
      </c>
    </row>
    <row r="48" spans="1:11" ht="18.75" x14ac:dyDescent="0.3">
      <c r="A48" s="64"/>
      <c r="B48" s="98" t="s">
        <v>154</v>
      </c>
      <c r="C48" s="98"/>
      <c r="D48" s="99"/>
      <c r="E48" s="100">
        <f>SUM(E45:E47)</f>
        <v>205.6</v>
      </c>
      <c r="F48" s="100">
        <f t="shared" ref="F48:H48" si="29">SUM(F45:F47)</f>
        <v>183</v>
      </c>
      <c r="G48" s="100">
        <f t="shared" si="29"/>
        <v>172.8</v>
      </c>
      <c r="H48" s="100">
        <f t="shared" si="29"/>
        <v>561.4</v>
      </c>
    </row>
    <row r="50" spans="3:7" x14ac:dyDescent="0.25">
      <c r="C50" s="108" t="s">
        <v>170</v>
      </c>
      <c r="D50" s="108"/>
      <c r="E50" s="108"/>
      <c r="F50" s="108"/>
      <c r="G50" s="108"/>
    </row>
    <row r="51" spans="3:7" x14ac:dyDescent="0.25">
      <c r="C51" s="108"/>
      <c r="D51" s="108"/>
      <c r="E51" s="108"/>
      <c r="F51" s="108"/>
      <c r="G51" s="108"/>
    </row>
  </sheetData>
  <mergeCells count="53">
    <mergeCell ref="E42:H42"/>
    <mergeCell ref="B48:D48"/>
    <mergeCell ref="E43:H43"/>
    <mergeCell ref="B44:D44"/>
    <mergeCell ref="A2:K2"/>
    <mergeCell ref="B45:D45"/>
    <mergeCell ref="B46:D46"/>
    <mergeCell ref="B47:D47"/>
    <mergeCell ref="C50:G51"/>
    <mergeCell ref="A1:K1"/>
    <mergeCell ref="C34:K34"/>
    <mergeCell ref="I35:J35"/>
    <mergeCell ref="C24:K24"/>
    <mergeCell ref="I7:J7"/>
    <mergeCell ref="I8:J8"/>
    <mergeCell ref="I9:J9"/>
    <mergeCell ref="I10:J10"/>
    <mergeCell ref="I11:J11"/>
    <mergeCell ref="I12:J12"/>
    <mergeCell ref="I13:J13"/>
    <mergeCell ref="A38:B38"/>
    <mergeCell ref="A39:B39"/>
    <mergeCell ref="C35:D35"/>
    <mergeCell ref="A36:B36"/>
    <mergeCell ref="A37:B37"/>
    <mergeCell ref="E35:H35"/>
    <mergeCell ref="A27:B27"/>
    <mergeCell ref="A28:B28"/>
    <mergeCell ref="A29:B29"/>
    <mergeCell ref="A30:B30"/>
    <mergeCell ref="A31:B31"/>
    <mergeCell ref="A12:B12"/>
    <mergeCell ref="C25:D25"/>
    <mergeCell ref="I25:J25"/>
    <mergeCell ref="A26:B26"/>
    <mergeCell ref="E15:H15"/>
    <mergeCell ref="C14:K14"/>
    <mergeCell ref="E25:H25"/>
    <mergeCell ref="A7:B7"/>
    <mergeCell ref="A8:B8"/>
    <mergeCell ref="A9:B9"/>
    <mergeCell ref="A10:B10"/>
    <mergeCell ref="A11:B11"/>
    <mergeCell ref="I6:J6"/>
    <mergeCell ref="E7:H7"/>
    <mergeCell ref="C15:D15"/>
    <mergeCell ref="I15:J15"/>
    <mergeCell ref="E4:H4"/>
    <mergeCell ref="E5:H5"/>
    <mergeCell ref="C5:D5"/>
    <mergeCell ref="C3:K3"/>
    <mergeCell ref="C4:D4"/>
    <mergeCell ref="I5:J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workbookViewId="0">
      <selection activeCell="H13" sqref="H13"/>
    </sheetView>
  </sheetViews>
  <sheetFormatPr defaultRowHeight="15" x14ac:dyDescent="0.25"/>
  <cols>
    <col min="1" max="1" width="23.42578125" customWidth="1"/>
    <col min="2" max="2" width="26.7109375" customWidth="1"/>
    <col min="3" max="3" width="23.28515625" customWidth="1"/>
    <col min="4" max="12" width="9.7109375" customWidth="1"/>
  </cols>
  <sheetData>
    <row r="1" spans="1:28" ht="23.25" x14ac:dyDescent="0.35">
      <c r="A1" s="44" t="s">
        <v>165</v>
      </c>
      <c r="U1">
        <v>20</v>
      </c>
      <c r="W1">
        <v>10</v>
      </c>
      <c r="X1">
        <v>18</v>
      </c>
      <c r="Y1">
        <v>24</v>
      </c>
      <c r="AA1">
        <f>231*10/((12^2)*PI())</f>
        <v>5.1062210908649757</v>
      </c>
    </row>
    <row r="2" spans="1:28" x14ac:dyDescent="0.25">
      <c r="D2" s="58" t="s">
        <v>44</v>
      </c>
      <c r="E2" s="58"/>
      <c r="F2" s="58" t="s">
        <v>45</v>
      </c>
      <c r="G2" s="58"/>
      <c r="H2" s="58" t="s">
        <v>134</v>
      </c>
      <c r="I2" s="58"/>
      <c r="J2" s="58"/>
      <c r="K2" s="58"/>
      <c r="AA2">
        <v>231</v>
      </c>
      <c r="AB2">
        <f>36^3</f>
        <v>46656</v>
      </c>
    </row>
    <row r="3" spans="1:28" x14ac:dyDescent="0.25">
      <c r="A3" t="s">
        <v>43</v>
      </c>
      <c r="B3" t="s">
        <v>46</v>
      </c>
      <c r="C3" t="s">
        <v>48</v>
      </c>
      <c r="D3" t="s">
        <v>49</v>
      </c>
      <c r="E3" s="38" t="s">
        <v>50</v>
      </c>
      <c r="F3" t="s">
        <v>49</v>
      </c>
      <c r="G3" s="38" t="s">
        <v>50</v>
      </c>
      <c r="H3" s="38" t="s">
        <v>47</v>
      </c>
      <c r="I3" s="38" t="s">
        <v>70</v>
      </c>
      <c r="J3" s="38" t="s">
        <v>67</v>
      </c>
      <c r="K3" s="38" t="s">
        <v>71</v>
      </c>
      <c r="L3" s="45" t="s">
        <v>71</v>
      </c>
    </row>
    <row r="4" spans="1:28" x14ac:dyDescent="0.25">
      <c r="A4" t="s">
        <v>98</v>
      </c>
      <c r="B4" t="s">
        <v>75</v>
      </c>
      <c r="D4" s="36">
        <f>SUM(D5:D14)</f>
        <v>3</v>
      </c>
      <c r="E4" s="36">
        <f>SUM(E5:E14)</f>
        <v>4.3323403292181073</v>
      </c>
      <c r="F4" s="36">
        <f>SUM(F5:F14)</f>
        <v>31.466666666666665</v>
      </c>
      <c r="G4" s="48">
        <f>SUM(G5:G14)</f>
        <v>0</v>
      </c>
      <c r="H4" s="48">
        <f>SUM(H5:H14)</f>
        <v>0.73333333333333339</v>
      </c>
      <c r="I4" s="48">
        <f t="shared" ref="I4:J4" si="0">SUM(I5:I14)</f>
        <v>0.5</v>
      </c>
      <c r="J4" s="48">
        <f t="shared" si="0"/>
        <v>0.7</v>
      </c>
      <c r="K4" s="48">
        <f>SUM(K5:K14)</f>
        <v>1.9333333333333331</v>
      </c>
      <c r="L4" s="36">
        <f>SUM(E4:F4)</f>
        <v>35.799006995884774</v>
      </c>
    </row>
    <row r="5" spans="1:28" x14ac:dyDescent="0.25">
      <c r="A5" s="42" t="s">
        <v>72</v>
      </c>
      <c r="B5" t="s">
        <v>47</v>
      </c>
      <c r="C5" t="s">
        <v>73</v>
      </c>
      <c r="D5" s="35">
        <f>15/5</f>
        <v>3</v>
      </c>
      <c r="L5" t="s">
        <v>99</v>
      </c>
    </row>
    <row r="6" spans="1:28" ht="24.75" x14ac:dyDescent="0.25">
      <c r="A6" s="42" t="s">
        <v>51</v>
      </c>
      <c r="B6" t="s">
        <v>47</v>
      </c>
      <c r="C6" s="41" t="s">
        <v>65</v>
      </c>
      <c r="E6" s="35">
        <f>0.68*4</f>
        <v>2.72</v>
      </c>
      <c r="K6" s="38"/>
      <c r="L6" t="s">
        <v>83</v>
      </c>
    </row>
    <row r="7" spans="1:28" x14ac:dyDescent="0.25">
      <c r="A7" s="42" t="s">
        <v>53</v>
      </c>
      <c r="B7" t="s">
        <v>47</v>
      </c>
      <c r="C7" t="s">
        <v>52</v>
      </c>
      <c r="E7" s="35">
        <f>(AA2*2/AB2)*62</f>
        <v>0.61394032921810704</v>
      </c>
      <c r="K7" s="38"/>
      <c r="L7" t="s">
        <v>97</v>
      </c>
    </row>
    <row r="8" spans="1:28" x14ac:dyDescent="0.25">
      <c r="A8" s="42" t="s">
        <v>74</v>
      </c>
      <c r="B8" t="s">
        <v>47</v>
      </c>
      <c r="C8" t="s">
        <v>82</v>
      </c>
      <c r="E8" s="35">
        <f>12.48*8/100</f>
        <v>0.99840000000000007</v>
      </c>
      <c r="K8" s="38"/>
      <c r="L8" t="s">
        <v>84</v>
      </c>
    </row>
    <row r="9" spans="1:28" ht="24.75" x14ac:dyDescent="0.25">
      <c r="A9" s="42" t="s">
        <v>45</v>
      </c>
      <c r="B9" t="s">
        <v>47</v>
      </c>
      <c r="C9" s="41" t="s">
        <v>66</v>
      </c>
      <c r="F9" s="35">
        <f>(50+4*18)/30</f>
        <v>4.0666666666666664</v>
      </c>
      <c r="H9" s="48">
        <f>4/30</f>
        <v>0.13333333333333333</v>
      </c>
      <c r="K9" s="48">
        <f>4/30</f>
        <v>0.13333333333333333</v>
      </c>
      <c r="L9" t="s">
        <v>89</v>
      </c>
    </row>
    <row r="10" spans="1:28" x14ac:dyDescent="0.25">
      <c r="A10" s="42" t="s">
        <v>45</v>
      </c>
      <c r="B10" t="s">
        <v>47</v>
      </c>
      <c r="C10" s="41" t="s">
        <v>90</v>
      </c>
      <c r="F10" s="35">
        <f>2*18/30</f>
        <v>1.2</v>
      </c>
      <c r="H10" s="48">
        <f>2/10</f>
        <v>0.2</v>
      </c>
      <c r="K10" s="48">
        <f>2/10</f>
        <v>0.2</v>
      </c>
      <c r="L10" t="s">
        <v>169</v>
      </c>
    </row>
    <row r="11" spans="1:28" x14ac:dyDescent="0.25">
      <c r="A11" s="42" t="s">
        <v>45</v>
      </c>
      <c r="B11" t="s">
        <v>67</v>
      </c>
      <c r="C11" s="41" t="s">
        <v>68</v>
      </c>
      <c r="F11" s="35">
        <f>10*18/60</f>
        <v>3</v>
      </c>
      <c r="J11" s="48">
        <f>K11</f>
        <v>0.3</v>
      </c>
      <c r="K11" s="48">
        <f>18/60</f>
        <v>0.3</v>
      </c>
      <c r="L11" t="s">
        <v>76</v>
      </c>
    </row>
    <row r="12" spans="1:28" x14ac:dyDescent="0.25">
      <c r="A12" s="42" t="s">
        <v>45</v>
      </c>
      <c r="B12" t="s">
        <v>47</v>
      </c>
      <c r="C12" s="41" t="s">
        <v>69</v>
      </c>
      <c r="F12" s="35">
        <f>K12*18</f>
        <v>7.2</v>
      </c>
      <c r="H12" s="48">
        <f>8/20</f>
        <v>0.4</v>
      </c>
      <c r="J12" s="48"/>
      <c r="K12" s="48">
        <f>8/20</f>
        <v>0.4</v>
      </c>
      <c r="L12" t="s">
        <v>140</v>
      </c>
    </row>
    <row r="13" spans="1:28" x14ac:dyDescent="0.25">
      <c r="A13" s="42" t="s">
        <v>45</v>
      </c>
      <c r="B13" t="s">
        <v>70</v>
      </c>
      <c r="C13" s="41" t="s">
        <v>69</v>
      </c>
      <c r="F13" s="35">
        <f>K13*24</f>
        <v>12</v>
      </c>
      <c r="I13" s="48">
        <f>K13</f>
        <v>0.5</v>
      </c>
      <c r="J13" s="48"/>
      <c r="K13" s="48">
        <f>10/20</f>
        <v>0.5</v>
      </c>
      <c r="L13" t="s">
        <v>141</v>
      </c>
    </row>
    <row r="14" spans="1:28" x14ac:dyDescent="0.25">
      <c r="A14" s="42" t="s">
        <v>45</v>
      </c>
      <c r="B14" t="s">
        <v>67</v>
      </c>
      <c r="C14" s="41" t="s">
        <v>69</v>
      </c>
      <c r="F14" s="35">
        <f>J14*10</f>
        <v>4</v>
      </c>
      <c r="I14" s="48"/>
      <c r="J14" s="48">
        <f>8/20</f>
        <v>0.4</v>
      </c>
      <c r="K14" s="48">
        <f>8/20</f>
        <v>0.4</v>
      </c>
      <c r="L14" t="s">
        <v>142</v>
      </c>
    </row>
    <row r="15" spans="1:28" x14ac:dyDescent="0.25">
      <c r="I15" s="48"/>
    </row>
    <row r="16" spans="1:28" x14ac:dyDescent="0.25">
      <c r="A16" t="s">
        <v>54</v>
      </c>
      <c r="B16" t="s">
        <v>55</v>
      </c>
      <c r="E16" s="35">
        <f>SUM(E17:E22)</f>
        <v>51.535499999999999</v>
      </c>
      <c r="F16" s="35">
        <f>SUM(F17:F28)</f>
        <v>117.4</v>
      </c>
      <c r="G16" s="36">
        <f>SUM(G18:G27)</f>
        <v>0</v>
      </c>
      <c r="H16" s="48">
        <f>SUM(H17:H28)</f>
        <v>1.8</v>
      </c>
      <c r="I16" s="48">
        <f t="shared" ref="I16:K16" si="1">SUM(I17:I28)</f>
        <v>1</v>
      </c>
      <c r="J16" s="48">
        <f t="shared" si="1"/>
        <v>2.2999999999999998</v>
      </c>
      <c r="K16" s="48">
        <f t="shared" si="1"/>
        <v>5.3666666666666663</v>
      </c>
      <c r="L16" s="36">
        <f>SUM(E16:F16)</f>
        <v>168.93549999999999</v>
      </c>
    </row>
    <row r="17" spans="1:15" ht="24.75" x14ac:dyDescent="0.25">
      <c r="A17" s="42" t="s">
        <v>56</v>
      </c>
      <c r="B17" t="s">
        <v>47</v>
      </c>
      <c r="C17" s="41" t="s">
        <v>58</v>
      </c>
      <c r="E17" s="35">
        <f>73.35/2</f>
        <v>36.674999999999997</v>
      </c>
      <c r="K17" s="48"/>
      <c r="L17" t="s">
        <v>92</v>
      </c>
    </row>
    <row r="18" spans="1:15" ht="24.75" x14ac:dyDescent="0.25">
      <c r="A18" s="42" t="s">
        <v>57</v>
      </c>
      <c r="B18" t="s">
        <v>47</v>
      </c>
      <c r="C18" s="41" t="s">
        <v>59</v>
      </c>
      <c r="E18" s="35">
        <f>17.48/16</f>
        <v>1.0925</v>
      </c>
      <c r="K18" s="48"/>
      <c r="L18" t="s">
        <v>78</v>
      </c>
    </row>
    <row r="19" spans="1:15" ht="24.75" x14ac:dyDescent="0.25">
      <c r="A19" s="42" t="s">
        <v>60</v>
      </c>
      <c r="B19" t="s">
        <v>47</v>
      </c>
      <c r="C19" s="41" t="s">
        <v>61</v>
      </c>
      <c r="E19" s="35">
        <f>6.78/5</f>
        <v>1.3560000000000001</v>
      </c>
      <c r="K19" s="48"/>
      <c r="L19" t="s">
        <v>79</v>
      </c>
    </row>
    <row r="20" spans="1:15" ht="36.75" x14ac:dyDescent="0.25">
      <c r="A20" s="42" t="s">
        <v>62</v>
      </c>
      <c r="B20" t="s">
        <v>47</v>
      </c>
      <c r="C20" s="41" t="s">
        <v>93</v>
      </c>
      <c r="E20" s="35">
        <f>10.98*15/100</f>
        <v>1.6470000000000002</v>
      </c>
      <c r="K20" s="48"/>
      <c r="L20" t="s">
        <v>77</v>
      </c>
    </row>
    <row r="21" spans="1:15" ht="24.75" x14ac:dyDescent="0.25">
      <c r="A21" s="42" t="s">
        <v>63</v>
      </c>
      <c r="B21" t="s">
        <v>47</v>
      </c>
      <c r="C21" s="41" t="s">
        <v>64</v>
      </c>
      <c r="E21" s="35">
        <f>17.45/2</f>
        <v>8.7249999999999996</v>
      </c>
      <c r="K21" s="48"/>
      <c r="L21" t="s">
        <v>80</v>
      </c>
      <c r="O21" s="36"/>
    </row>
    <row r="22" spans="1:15" ht="24.75" x14ac:dyDescent="0.25">
      <c r="A22" s="42" t="s">
        <v>51</v>
      </c>
      <c r="B22" t="s">
        <v>47</v>
      </c>
      <c r="C22" s="41" t="s">
        <v>65</v>
      </c>
      <c r="E22" s="35">
        <f>0.68*3</f>
        <v>2.04</v>
      </c>
      <c r="L22" t="s">
        <v>81</v>
      </c>
    </row>
    <row r="23" spans="1:15" ht="24.75" x14ac:dyDescent="0.25">
      <c r="A23" s="42" t="s">
        <v>45</v>
      </c>
      <c r="B23" t="s">
        <v>47</v>
      </c>
      <c r="C23" s="41" t="s">
        <v>66</v>
      </c>
      <c r="F23" s="35">
        <f>216/10</f>
        <v>21.6</v>
      </c>
      <c r="H23" s="48">
        <f>4/30</f>
        <v>0.13333333333333333</v>
      </c>
      <c r="K23" s="48">
        <f>4/30</f>
        <v>0.13333333333333333</v>
      </c>
      <c r="L23" t="s">
        <v>132</v>
      </c>
    </row>
    <row r="24" spans="1:15" x14ac:dyDescent="0.25">
      <c r="A24" s="42" t="s">
        <v>45</v>
      </c>
      <c r="B24" t="s">
        <v>47</v>
      </c>
      <c r="C24" s="41" t="s">
        <v>90</v>
      </c>
      <c r="F24" s="35">
        <f>10*18/10</f>
        <v>18</v>
      </c>
      <c r="H24" s="48">
        <f>2/30</f>
        <v>6.6666666666666666E-2</v>
      </c>
      <c r="K24" s="48">
        <f>10/30</f>
        <v>0.33333333333333331</v>
      </c>
      <c r="L24" t="s">
        <v>168</v>
      </c>
    </row>
    <row r="25" spans="1:15" x14ac:dyDescent="0.25">
      <c r="A25" s="42" t="s">
        <v>45</v>
      </c>
      <c r="B25" t="s">
        <v>67</v>
      </c>
      <c r="C25" s="41" t="s">
        <v>68</v>
      </c>
      <c r="F25" s="35">
        <f>1.5*10</f>
        <v>15</v>
      </c>
      <c r="J25" s="48">
        <v>1.5</v>
      </c>
      <c r="K25" s="48">
        <v>1.5</v>
      </c>
      <c r="L25" t="s">
        <v>94</v>
      </c>
    </row>
    <row r="26" spans="1:15" x14ac:dyDescent="0.25">
      <c r="A26" s="42" t="s">
        <v>45</v>
      </c>
      <c r="B26" t="s">
        <v>47</v>
      </c>
      <c r="C26" s="41" t="s">
        <v>69</v>
      </c>
      <c r="F26" s="35">
        <f>4*18*4/10</f>
        <v>28.8</v>
      </c>
      <c r="H26" s="48">
        <f>16/10</f>
        <v>1.6</v>
      </c>
      <c r="J26" s="48"/>
      <c r="K26" s="48">
        <f>16/10</f>
        <v>1.6</v>
      </c>
      <c r="L26" t="s">
        <v>95</v>
      </c>
    </row>
    <row r="27" spans="1:15" x14ac:dyDescent="0.25">
      <c r="A27" s="42" t="s">
        <v>45</v>
      </c>
      <c r="B27" t="s">
        <v>70</v>
      </c>
      <c r="C27" s="41" t="s">
        <v>69</v>
      </c>
      <c r="F27" s="35">
        <f>2*5*18/10</f>
        <v>18</v>
      </c>
      <c r="I27" s="48">
        <f>10/10</f>
        <v>1</v>
      </c>
      <c r="K27" s="48">
        <f>10/10</f>
        <v>1</v>
      </c>
      <c r="L27" t="s">
        <v>139</v>
      </c>
    </row>
    <row r="28" spans="1:15" x14ac:dyDescent="0.25">
      <c r="A28" s="42" t="s">
        <v>45</v>
      </c>
      <c r="B28" t="s">
        <v>67</v>
      </c>
      <c r="C28" s="41" t="s">
        <v>69</v>
      </c>
      <c r="F28" s="35">
        <f>4*4*10/10</f>
        <v>16</v>
      </c>
      <c r="J28" s="48">
        <f>8/10</f>
        <v>0.8</v>
      </c>
      <c r="K28" s="48">
        <f>8/10</f>
        <v>0.8</v>
      </c>
      <c r="L28" t="s">
        <v>167</v>
      </c>
    </row>
    <row r="30" spans="1:15" x14ac:dyDescent="0.25">
      <c r="A30" t="s">
        <v>96</v>
      </c>
      <c r="B30" t="s">
        <v>85</v>
      </c>
      <c r="E30" s="35">
        <f>SUM(E31:E36)</f>
        <v>31.788599999999999</v>
      </c>
      <c r="F30" s="48">
        <f t="shared" ref="F30:J30" si="2">SUM(F31:F39)</f>
        <v>108.9</v>
      </c>
      <c r="G30" s="36">
        <f>SUM(G32:G41)</f>
        <v>0</v>
      </c>
      <c r="H30" s="48">
        <f t="shared" si="2"/>
        <v>2.65</v>
      </c>
      <c r="I30" s="48">
        <f t="shared" si="2"/>
        <v>2.8125</v>
      </c>
      <c r="J30" s="48">
        <f t="shared" si="2"/>
        <v>1.75</v>
      </c>
      <c r="K30" s="48">
        <f>SUM(K31:K39)</f>
        <v>7.2125000000000004</v>
      </c>
      <c r="L30" s="36">
        <f>SUM(E30:F30)</f>
        <v>140.68860000000001</v>
      </c>
    </row>
    <row r="31" spans="1:15" x14ac:dyDescent="0.25">
      <c r="A31" s="42" t="s">
        <v>100</v>
      </c>
      <c r="B31" t="s">
        <v>47</v>
      </c>
      <c r="C31" t="s">
        <v>88</v>
      </c>
      <c r="D31" s="35"/>
      <c r="E31" s="1">
        <v>28.0686</v>
      </c>
      <c r="K31" s="48"/>
      <c r="L31" t="s">
        <v>114</v>
      </c>
    </row>
    <row r="32" spans="1:15" x14ac:dyDescent="0.25">
      <c r="A32" s="42" t="s">
        <v>86</v>
      </c>
      <c r="B32" t="s">
        <v>47</v>
      </c>
      <c r="C32" s="41" t="s">
        <v>101</v>
      </c>
      <c r="E32" s="35">
        <f>0.68*4</f>
        <v>2.72</v>
      </c>
      <c r="K32" s="48"/>
      <c r="L32" t="s">
        <v>102</v>
      </c>
    </row>
    <row r="33" spans="1:21" x14ac:dyDescent="0.25">
      <c r="A33" s="42" t="s">
        <v>87</v>
      </c>
      <c r="B33" t="s">
        <v>47</v>
      </c>
      <c r="C33" t="s">
        <v>52</v>
      </c>
      <c r="E33" s="35">
        <v>1</v>
      </c>
      <c r="F33" s="35"/>
      <c r="K33" s="48"/>
      <c r="L33" t="s">
        <v>110</v>
      </c>
    </row>
    <row r="34" spans="1:21" ht="24.75" x14ac:dyDescent="0.25">
      <c r="A34" s="42" t="s">
        <v>45</v>
      </c>
      <c r="B34" t="s">
        <v>47</v>
      </c>
      <c r="C34" s="41" t="s">
        <v>105</v>
      </c>
      <c r="F34" s="35">
        <f>(2*18)/20</f>
        <v>1.8</v>
      </c>
      <c r="H34" s="48">
        <f>2/20</f>
        <v>0.1</v>
      </c>
      <c r="K34" s="48">
        <f>2/20</f>
        <v>0.1</v>
      </c>
      <c r="L34" t="s">
        <v>103</v>
      </c>
    </row>
    <row r="35" spans="1:21" x14ac:dyDescent="0.25">
      <c r="A35" s="42" t="s">
        <v>45</v>
      </c>
      <c r="B35" t="s">
        <v>47</v>
      </c>
      <c r="C35" s="41" t="s">
        <v>90</v>
      </c>
      <c r="F35" s="35">
        <f>2*18/30</f>
        <v>1.2</v>
      </c>
      <c r="H35" s="48">
        <f>1/20</f>
        <v>0.05</v>
      </c>
      <c r="K35" s="48">
        <f>1/20</f>
        <v>0.05</v>
      </c>
      <c r="L35" t="s">
        <v>104</v>
      </c>
    </row>
    <row r="36" spans="1:21" x14ac:dyDescent="0.25">
      <c r="A36" s="42" t="s">
        <v>45</v>
      </c>
      <c r="B36" t="s">
        <v>67</v>
      </c>
      <c r="C36" s="41" t="s">
        <v>68</v>
      </c>
      <c r="F36" s="35">
        <f>((3+3)/20)+(0.2)*10</f>
        <v>2.2999999999999998</v>
      </c>
      <c r="I36" s="48">
        <f>6.5/8</f>
        <v>0.8125</v>
      </c>
      <c r="K36" s="48">
        <f>6.5/8</f>
        <v>0.8125</v>
      </c>
      <c r="L36" t="s">
        <v>106</v>
      </c>
    </row>
    <row r="37" spans="1:21" x14ac:dyDescent="0.25">
      <c r="A37" s="42" t="s">
        <v>45</v>
      </c>
      <c r="B37" t="s">
        <v>47</v>
      </c>
      <c r="C37" s="41" t="s">
        <v>69</v>
      </c>
      <c r="F37" s="35">
        <f>(4*18*5)/8</f>
        <v>45</v>
      </c>
      <c r="H37" s="48">
        <f>20/8</f>
        <v>2.5</v>
      </c>
      <c r="K37" s="48">
        <f>20/8</f>
        <v>2.5</v>
      </c>
      <c r="L37" t="s">
        <v>107</v>
      </c>
      <c r="U37">
        <f>PI()*4</f>
        <v>12.566370614359172</v>
      </c>
    </row>
    <row r="38" spans="1:21" x14ac:dyDescent="0.25">
      <c r="A38" s="42" t="s">
        <v>45</v>
      </c>
      <c r="B38" t="s">
        <v>70</v>
      </c>
      <c r="C38" s="41" t="s">
        <v>69</v>
      </c>
      <c r="F38" s="35">
        <f>(2*7*24)/10</f>
        <v>33.6</v>
      </c>
      <c r="J38" s="48">
        <f>14/8</f>
        <v>1.75</v>
      </c>
      <c r="K38" s="48">
        <f>14/8</f>
        <v>1.75</v>
      </c>
      <c r="L38" t="s">
        <v>108</v>
      </c>
    </row>
    <row r="39" spans="1:21" x14ac:dyDescent="0.25">
      <c r="A39" s="42" t="s">
        <v>45</v>
      </c>
      <c r="B39" t="s">
        <v>67</v>
      </c>
      <c r="C39" s="41" t="s">
        <v>69</v>
      </c>
      <c r="F39" s="35">
        <f>4*5*10/8</f>
        <v>25</v>
      </c>
      <c r="I39" s="48">
        <f>16/8</f>
        <v>2</v>
      </c>
      <c r="K39" s="48">
        <f>16/8</f>
        <v>2</v>
      </c>
      <c r="L39" t="s">
        <v>109</v>
      </c>
    </row>
    <row r="41" spans="1:21" x14ac:dyDescent="0.25">
      <c r="A41" t="s">
        <v>111</v>
      </c>
      <c r="B41" t="s">
        <v>75</v>
      </c>
      <c r="D41" s="35">
        <f>SUM(D42:D47)</f>
        <v>15</v>
      </c>
      <c r="E41" s="35">
        <f>SUM(E42:E47)</f>
        <v>15.306970164609053</v>
      </c>
      <c r="F41" s="35">
        <f>SUM(F42:F50)</f>
        <v>69.666666666666657</v>
      </c>
      <c r="G41" s="36">
        <f>SUM(G43:G52)</f>
        <v>0</v>
      </c>
      <c r="H41" s="48">
        <f t="shared" ref="H41" si="3">SUM(H42:H50)</f>
        <v>1.1333333333333333</v>
      </c>
      <c r="I41" s="48">
        <f t="shared" ref="I41" si="4">SUM(I42:I50)</f>
        <v>1</v>
      </c>
      <c r="J41" s="48">
        <f t="shared" ref="J41" si="5">SUM(J42:J50)</f>
        <v>2.6</v>
      </c>
      <c r="K41" s="48">
        <f>SUM(K42:K50)</f>
        <v>4.7333333333333343</v>
      </c>
      <c r="L41" s="36">
        <f>SUM(E41:F41)</f>
        <v>84.973636831275712</v>
      </c>
    </row>
    <row r="42" spans="1:21" x14ac:dyDescent="0.25">
      <c r="A42" s="42" t="s">
        <v>72</v>
      </c>
      <c r="B42" t="s">
        <v>47</v>
      </c>
      <c r="C42" t="s">
        <v>73</v>
      </c>
      <c r="D42" s="35">
        <v>15</v>
      </c>
      <c r="L42" t="s">
        <v>116</v>
      </c>
    </row>
    <row r="43" spans="1:21" x14ac:dyDescent="0.25">
      <c r="A43" s="42" t="s">
        <v>56</v>
      </c>
      <c r="B43" t="s">
        <v>47</v>
      </c>
      <c r="C43" t="s">
        <v>113</v>
      </c>
      <c r="D43" s="35"/>
      <c r="E43" s="35">
        <v>15</v>
      </c>
      <c r="L43" t="s">
        <v>115</v>
      </c>
    </row>
    <row r="44" spans="1:21" x14ac:dyDescent="0.25">
      <c r="A44" s="42" t="s">
        <v>53</v>
      </c>
      <c r="B44" t="s">
        <v>47</v>
      </c>
      <c r="C44" t="s">
        <v>52</v>
      </c>
      <c r="E44" s="35">
        <f>(AA2/AB2)*62</f>
        <v>0.30697016460905352</v>
      </c>
      <c r="L44" t="s">
        <v>112</v>
      </c>
    </row>
    <row r="45" spans="1:21" ht="24.75" x14ac:dyDescent="0.25">
      <c r="A45" s="42" t="s">
        <v>45</v>
      </c>
      <c r="B45" t="s">
        <v>47</v>
      </c>
      <c r="C45" s="41" t="s">
        <v>66</v>
      </c>
      <c r="F45" s="35">
        <f>(50+4*18)/30</f>
        <v>4.0666666666666664</v>
      </c>
      <c r="H45" s="48">
        <f>4/30</f>
        <v>0.13333333333333333</v>
      </c>
      <c r="K45" s="48">
        <f>4/30</f>
        <v>0.13333333333333333</v>
      </c>
      <c r="L45" t="s">
        <v>89</v>
      </c>
    </row>
    <row r="46" spans="1:21" x14ac:dyDescent="0.25">
      <c r="A46" s="42" t="s">
        <v>45</v>
      </c>
      <c r="B46" t="s">
        <v>47</v>
      </c>
      <c r="C46" s="41" t="s">
        <v>90</v>
      </c>
      <c r="F46" s="35">
        <f>2*18/30</f>
        <v>1.2</v>
      </c>
      <c r="H46" s="48">
        <f>2/10</f>
        <v>0.2</v>
      </c>
      <c r="K46" s="48">
        <f>2/10</f>
        <v>0.2</v>
      </c>
      <c r="L46" t="s">
        <v>91</v>
      </c>
    </row>
    <row r="47" spans="1:21" x14ac:dyDescent="0.25">
      <c r="A47" s="42" t="s">
        <v>45</v>
      </c>
      <c r="B47" t="s">
        <v>67</v>
      </c>
      <c r="C47" s="41" t="s">
        <v>117</v>
      </c>
      <c r="F47" s="35">
        <f>1*10</f>
        <v>10</v>
      </c>
      <c r="J47" s="48">
        <v>1</v>
      </c>
      <c r="K47" s="48">
        <v>1</v>
      </c>
      <c r="L47" t="s">
        <v>118</v>
      </c>
    </row>
    <row r="48" spans="1:21" x14ac:dyDescent="0.25">
      <c r="A48" s="42" t="s">
        <v>45</v>
      </c>
      <c r="B48" t="s">
        <v>47</v>
      </c>
      <c r="C48" s="41" t="s">
        <v>69</v>
      </c>
      <c r="F48" s="35">
        <f>2*18*4/10</f>
        <v>14.4</v>
      </c>
      <c r="H48" s="48">
        <f>8/10</f>
        <v>0.8</v>
      </c>
      <c r="K48" s="48">
        <f>8/10</f>
        <v>0.8</v>
      </c>
      <c r="L48" t="s">
        <v>119</v>
      </c>
    </row>
    <row r="49" spans="1:21" x14ac:dyDescent="0.25">
      <c r="A49" s="42" t="s">
        <v>45</v>
      </c>
      <c r="B49" t="s">
        <v>70</v>
      </c>
      <c r="C49" s="41" t="s">
        <v>69</v>
      </c>
      <c r="F49" s="35">
        <f>2*5*24/10</f>
        <v>24</v>
      </c>
      <c r="I49" s="48">
        <f>10/10</f>
        <v>1</v>
      </c>
      <c r="K49" s="48">
        <f>10/10</f>
        <v>1</v>
      </c>
      <c r="L49" t="s">
        <v>120</v>
      </c>
    </row>
    <row r="50" spans="1:21" x14ac:dyDescent="0.25">
      <c r="A50" s="42" t="s">
        <v>45</v>
      </c>
      <c r="B50" t="s">
        <v>67</v>
      </c>
      <c r="C50" s="41" t="s">
        <v>69</v>
      </c>
      <c r="F50" s="35">
        <f>4*4*10/10</f>
        <v>16</v>
      </c>
      <c r="J50" s="48">
        <f>16/10</f>
        <v>1.6</v>
      </c>
      <c r="K50" s="48">
        <f>16/10</f>
        <v>1.6</v>
      </c>
      <c r="L50" t="s">
        <v>121</v>
      </c>
      <c r="U50" s="48"/>
    </row>
    <row r="51" spans="1:21" x14ac:dyDescent="0.25">
      <c r="U51" s="48"/>
    </row>
    <row r="52" spans="1:21" x14ac:dyDescent="0.25">
      <c r="A52" t="s">
        <v>122</v>
      </c>
      <c r="B52" t="s">
        <v>85</v>
      </c>
      <c r="D52" s="35">
        <f>SUM(D53:D59)</f>
        <v>0</v>
      </c>
      <c r="E52" s="35">
        <f>SUM(E53:E57)</f>
        <v>32.146970164609058</v>
      </c>
      <c r="F52" s="35">
        <f>SUM(F53:F62)</f>
        <v>22.8</v>
      </c>
      <c r="G52" s="36">
        <f>SUM(G54:G61)</f>
        <v>0</v>
      </c>
      <c r="H52" s="48">
        <f>SUM(H53:H59)</f>
        <v>0.53333333333333333</v>
      </c>
      <c r="I52" s="48">
        <f t="shared" ref="I52:K52" si="6">SUM(I53:I59)</f>
        <v>0.5</v>
      </c>
      <c r="J52" s="48">
        <f t="shared" si="6"/>
        <v>0</v>
      </c>
      <c r="K52" s="48">
        <f t="shared" si="6"/>
        <v>1.0333333333333332</v>
      </c>
      <c r="L52" s="36">
        <f>SUM(E52:F52)</f>
        <v>54.946970164609056</v>
      </c>
      <c r="U52" s="48"/>
    </row>
    <row r="53" spans="1:21" x14ac:dyDescent="0.25">
      <c r="A53" s="42" t="s">
        <v>123</v>
      </c>
      <c r="B53" t="s">
        <v>47</v>
      </c>
      <c r="C53" t="s">
        <v>52</v>
      </c>
      <c r="D53" s="35"/>
      <c r="E53" s="35">
        <f>2*12</f>
        <v>24</v>
      </c>
      <c r="L53" t="s">
        <v>128</v>
      </c>
      <c r="U53" s="48"/>
    </row>
    <row r="54" spans="1:21" x14ac:dyDescent="0.25">
      <c r="A54" s="42" t="s">
        <v>124</v>
      </c>
      <c r="B54" t="s">
        <v>47</v>
      </c>
      <c r="C54" t="s">
        <v>52</v>
      </c>
      <c r="D54" s="35"/>
      <c r="E54" s="35">
        <f>4*1</f>
        <v>4</v>
      </c>
      <c r="L54" t="s">
        <v>125</v>
      </c>
      <c r="U54" s="48"/>
    </row>
    <row r="55" spans="1:21" x14ac:dyDescent="0.25">
      <c r="A55" s="42" t="s">
        <v>53</v>
      </c>
      <c r="B55" t="s">
        <v>47</v>
      </c>
      <c r="C55" t="s">
        <v>52</v>
      </c>
      <c r="E55" s="35">
        <f>(AA2/AB2)*62</f>
        <v>0.30697016460905352</v>
      </c>
      <c r="L55" t="s">
        <v>112</v>
      </c>
      <c r="U55" s="48"/>
    </row>
    <row r="56" spans="1:21" ht="30" x14ac:dyDescent="0.25">
      <c r="A56" s="42" t="s">
        <v>127</v>
      </c>
      <c r="B56" t="s">
        <v>47</v>
      </c>
      <c r="C56" s="43" t="s">
        <v>126</v>
      </c>
      <c r="E56" s="35">
        <v>3.84</v>
      </c>
    </row>
    <row r="57" spans="1:21" x14ac:dyDescent="0.25">
      <c r="A57" s="42" t="s">
        <v>45</v>
      </c>
      <c r="B57" t="s">
        <v>47</v>
      </c>
      <c r="C57" t="s">
        <v>66</v>
      </c>
      <c r="F57" s="35">
        <f>(1*18)/10</f>
        <v>1.8</v>
      </c>
      <c r="H57" s="48">
        <f>1/30</f>
        <v>3.3333333333333333E-2</v>
      </c>
      <c r="K57" s="48">
        <f>1/30</f>
        <v>3.3333333333333333E-2</v>
      </c>
      <c r="L57" t="s">
        <v>133</v>
      </c>
    </row>
    <row r="58" spans="1:21" x14ac:dyDescent="0.25">
      <c r="A58" s="42" t="s">
        <v>45</v>
      </c>
      <c r="B58" t="s">
        <v>47</v>
      </c>
      <c r="C58" s="41" t="s">
        <v>69</v>
      </c>
      <c r="F58" s="35">
        <f>0.5*18</f>
        <v>9</v>
      </c>
      <c r="H58" s="48">
        <v>0.5</v>
      </c>
      <c r="K58" s="48">
        <v>0.5</v>
      </c>
      <c r="L58" t="s">
        <v>129</v>
      </c>
    </row>
    <row r="59" spans="1:21" x14ac:dyDescent="0.25">
      <c r="A59" s="42" t="s">
        <v>45</v>
      </c>
      <c r="B59" t="s">
        <v>70</v>
      </c>
      <c r="C59" s="41" t="s">
        <v>69</v>
      </c>
      <c r="F59" s="35">
        <f>0.5*24</f>
        <v>12</v>
      </c>
      <c r="I59" s="48">
        <v>0.5</v>
      </c>
      <c r="K59" s="48">
        <v>0.5</v>
      </c>
      <c r="L59" t="s">
        <v>130</v>
      </c>
    </row>
  </sheetData>
  <mergeCells count="3">
    <mergeCell ref="D2:E2"/>
    <mergeCell ref="F2:G2"/>
    <mergeCell ref="H2:K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>
      <selection sqref="A1:H18"/>
    </sheetView>
  </sheetViews>
  <sheetFormatPr defaultRowHeight="15" x14ac:dyDescent="0.25"/>
  <sheetData>
    <row r="1" spans="1:14" ht="23.25" x14ac:dyDescent="0.35">
      <c r="A1" s="59" t="s">
        <v>143</v>
      </c>
      <c r="B1" s="59"/>
      <c r="C1" s="59"/>
      <c r="D1" s="59"/>
      <c r="E1" s="59"/>
      <c r="F1" s="59"/>
      <c r="G1" s="59"/>
      <c r="H1" s="59"/>
      <c r="I1" s="40"/>
      <c r="J1" s="40"/>
      <c r="K1" s="40"/>
      <c r="L1" s="40"/>
      <c r="M1" s="40"/>
      <c r="N1" s="40"/>
    </row>
    <row r="5" spans="1:14" x14ac:dyDescent="0.25">
      <c r="B5" s="39"/>
    </row>
    <row r="7" spans="1:14" x14ac:dyDescent="0.25">
      <c r="I7" s="60"/>
    </row>
  </sheetData>
  <mergeCells count="1">
    <mergeCell ref="A1:H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topLeftCell="A13" workbookViewId="0">
      <selection activeCell="J2" sqref="J2"/>
    </sheetView>
  </sheetViews>
  <sheetFormatPr defaultRowHeight="15" x14ac:dyDescent="0.25"/>
  <sheetData>
    <row r="1" spans="1:14" ht="23.25" x14ac:dyDescent="0.35">
      <c r="A1" s="59" t="s">
        <v>164</v>
      </c>
      <c r="B1" s="59"/>
      <c r="C1" s="59"/>
      <c r="D1" s="59"/>
      <c r="E1" s="59"/>
      <c r="F1" s="59"/>
      <c r="G1" s="59"/>
      <c r="H1" s="59"/>
      <c r="I1" s="59"/>
      <c r="J1" s="59"/>
      <c r="K1" s="106"/>
      <c r="L1" s="106"/>
      <c r="M1" s="106"/>
      <c r="N1" s="106"/>
    </row>
  </sheetData>
  <mergeCells count="1">
    <mergeCell ref="A1:J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opLeftCell="A12" workbookViewId="0">
      <selection sqref="A1:N40"/>
    </sheetView>
  </sheetViews>
  <sheetFormatPr defaultRowHeight="15" x14ac:dyDescent="0.25"/>
  <cols>
    <col min="14" max="14" width="5.42578125" customWidth="1"/>
  </cols>
  <sheetData>
    <row r="1" spans="1:14" ht="23.25" x14ac:dyDescent="0.35">
      <c r="A1" s="59" t="s">
        <v>137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58" t="s">
        <v>35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44" customHeight="1" x14ac:dyDescent="0.2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x14ac:dyDescent="0.25">
      <c r="A4" t="s">
        <v>1</v>
      </c>
    </row>
    <row r="5" spans="1:14" x14ac:dyDescent="0.25">
      <c r="A5" t="s">
        <v>2</v>
      </c>
    </row>
    <row r="6" spans="1:14" x14ac:dyDescent="0.25">
      <c r="A6" t="s">
        <v>3</v>
      </c>
    </row>
    <row r="7" spans="1:14" x14ac:dyDescent="0.25">
      <c r="A7" t="s">
        <v>4</v>
      </c>
    </row>
    <row r="8" spans="1:14" x14ac:dyDescent="0.25">
      <c r="A8" t="s">
        <v>5</v>
      </c>
    </row>
    <row r="10" spans="1:14" x14ac:dyDescent="0.25">
      <c r="A10" t="s">
        <v>6</v>
      </c>
      <c r="C10" t="s">
        <v>31</v>
      </c>
      <c r="F10" t="s">
        <v>6</v>
      </c>
      <c r="H10" t="s">
        <v>32</v>
      </c>
      <c r="K10" t="s">
        <v>6</v>
      </c>
      <c r="M10" t="s">
        <v>33</v>
      </c>
    </row>
    <row r="11" spans="1:14" x14ac:dyDescent="0.25">
      <c r="A11" t="s">
        <v>7</v>
      </c>
      <c r="F11" t="s">
        <v>13</v>
      </c>
      <c r="K11" t="s">
        <v>14</v>
      </c>
    </row>
    <row r="12" spans="1:14" x14ac:dyDescent="0.25">
      <c r="A12" t="s">
        <v>8</v>
      </c>
      <c r="F12" t="s">
        <v>8</v>
      </c>
      <c r="K12" t="s">
        <v>8</v>
      </c>
    </row>
    <row r="13" spans="1:14" x14ac:dyDescent="0.25">
      <c r="A13" t="s">
        <v>9</v>
      </c>
      <c r="F13" t="s">
        <v>9</v>
      </c>
      <c r="K13" t="s">
        <v>9</v>
      </c>
    </row>
    <row r="14" spans="1:14" x14ac:dyDescent="0.25">
      <c r="A14" t="s">
        <v>10</v>
      </c>
      <c r="F14" t="s">
        <v>10</v>
      </c>
      <c r="K14" t="s">
        <v>10</v>
      </c>
    </row>
    <row r="15" spans="1:14" x14ac:dyDescent="0.25">
      <c r="A15" t="s">
        <v>11</v>
      </c>
      <c r="F15" t="s">
        <v>11</v>
      </c>
      <c r="K15" t="s">
        <v>11</v>
      </c>
    </row>
    <row r="16" spans="1:14" x14ac:dyDescent="0.25">
      <c r="A16" t="s">
        <v>12</v>
      </c>
      <c r="F16" t="s">
        <v>12</v>
      </c>
      <c r="K16" t="s">
        <v>12</v>
      </c>
    </row>
    <row r="17" spans="1:14" x14ac:dyDescent="0.25">
      <c r="A17" t="s">
        <v>24</v>
      </c>
      <c r="C17">
        <v>54.99</v>
      </c>
      <c r="F17" t="s">
        <v>24</v>
      </c>
      <c r="H17">
        <v>57.99</v>
      </c>
      <c r="K17" t="s">
        <v>24</v>
      </c>
      <c r="M17">
        <v>129.99</v>
      </c>
    </row>
    <row r="18" spans="1:14" x14ac:dyDescent="0.25">
      <c r="A18" t="s">
        <v>27</v>
      </c>
      <c r="C18" s="1">
        <f>C17/10</f>
        <v>5.4990000000000006</v>
      </c>
      <c r="F18" t="s">
        <v>27</v>
      </c>
      <c r="H18" s="1">
        <f>H17/10</f>
        <v>5.7990000000000004</v>
      </c>
      <c r="K18" t="s">
        <v>27</v>
      </c>
      <c r="M18" s="1">
        <f>M17/10</f>
        <v>12.999000000000001</v>
      </c>
    </row>
    <row r="19" spans="1:14" x14ac:dyDescent="0.25">
      <c r="A19" t="s">
        <v>15</v>
      </c>
      <c r="C19">
        <v>3.19</v>
      </c>
      <c r="F19" t="s">
        <v>17</v>
      </c>
      <c r="H19">
        <v>3.59</v>
      </c>
      <c r="K19" t="s">
        <v>18</v>
      </c>
      <c r="M19" s="1">
        <v>6.1</v>
      </c>
    </row>
    <row r="20" spans="1:14" x14ac:dyDescent="0.25">
      <c r="A20" t="s">
        <v>16</v>
      </c>
      <c r="C20">
        <v>4.59</v>
      </c>
      <c r="F20" t="s">
        <v>16</v>
      </c>
      <c r="H20">
        <v>4.59</v>
      </c>
      <c r="K20" t="s">
        <v>16</v>
      </c>
      <c r="M20">
        <v>4.59</v>
      </c>
    </row>
    <row r="21" spans="1:14" x14ac:dyDescent="0.25">
      <c r="A21" t="s">
        <v>19</v>
      </c>
      <c r="C21" s="1">
        <f>C17*3/100</f>
        <v>1.6496999999999999</v>
      </c>
      <c r="F21" t="s">
        <v>20</v>
      </c>
      <c r="H21" s="1">
        <f>H17*4/100</f>
        <v>2.3195999999999999</v>
      </c>
      <c r="K21" t="s">
        <v>21</v>
      </c>
      <c r="M21" s="1">
        <f>M17*6/100</f>
        <v>7.7994000000000003</v>
      </c>
    </row>
    <row r="22" spans="1:14" ht="15.75" thickBot="1" x14ac:dyDescent="0.3">
      <c r="A22" t="s">
        <v>25</v>
      </c>
      <c r="C22" s="1">
        <f>C18+(C19*3)+(C20*2)+C21</f>
        <v>25.898700000000002</v>
      </c>
      <c r="H22" s="1">
        <f>H18+(H19*3)+(H20*2)+H21</f>
        <v>28.0686</v>
      </c>
      <c r="M22" s="1">
        <f>M18+(M19*3)+(M20*2)+M21</f>
        <v>48.278399999999998</v>
      </c>
    </row>
    <row r="23" spans="1:14" x14ac:dyDescent="0.25">
      <c r="A23" s="2" t="s">
        <v>23</v>
      </c>
      <c r="B23" s="3"/>
      <c r="C23" s="3">
        <v>2</v>
      </c>
      <c r="D23" s="3"/>
      <c r="E23" s="3"/>
      <c r="F23" s="3"/>
      <c r="G23" s="3"/>
      <c r="H23" s="3">
        <v>2</v>
      </c>
      <c r="I23" s="3"/>
      <c r="J23" s="3"/>
      <c r="K23" s="3"/>
      <c r="L23" s="3"/>
      <c r="M23" s="3">
        <v>2</v>
      </c>
      <c r="N23" s="4"/>
    </row>
    <row r="24" spans="1:14" x14ac:dyDescent="0.25">
      <c r="A24" s="5" t="s">
        <v>22</v>
      </c>
      <c r="B24" s="6"/>
      <c r="C24" s="7">
        <f>C23*C$22</f>
        <v>51.797400000000003</v>
      </c>
      <c r="D24" s="7"/>
      <c r="E24" s="7"/>
      <c r="F24" s="7"/>
      <c r="G24" s="7"/>
      <c r="H24" s="7">
        <f>H23*H$22</f>
        <v>56.1372</v>
      </c>
      <c r="I24" s="7"/>
      <c r="J24" s="7"/>
      <c r="K24" s="7"/>
      <c r="L24" s="7"/>
      <c r="M24" s="7">
        <f>M23*M$22</f>
        <v>96.556799999999996</v>
      </c>
      <c r="N24" s="8"/>
    </row>
    <row r="25" spans="1:14" x14ac:dyDescent="0.25">
      <c r="A25" s="5" t="s">
        <v>26</v>
      </c>
      <c r="B25" s="6"/>
      <c r="C25" s="7">
        <f>C24*6</f>
        <v>310.78440000000001</v>
      </c>
      <c r="D25" s="6"/>
      <c r="E25" s="6"/>
      <c r="F25" s="6"/>
      <c r="G25" s="6"/>
      <c r="H25" s="7">
        <f>H24*6</f>
        <v>336.82319999999999</v>
      </c>
      <c r="I25" s="6"/>
      <c r="J25" s="6"/>
      <c r="K25" s="6"/>
      <c r="L25" s="6"/>
      <c r="M25" s="7">
        <f>M24*6</f>
        <v>579.34079999999994</v>
      </c>
      <c r="N25" s="8"/>
    </row>
    <row r="26" spans="1:14" x14ac:dyDescent="0.25">
      <c r="A26" s="5" t="s">
        <v>28</v>
      </c>
      <c r="B26" s="6"/>
      <c r="C26" s="7">
        <f>C25+H25+M25</f>
        <v>1226.9484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8"/>
    </row>
    <row r="27" spans="1:14" ht="15.75" thickBot="1" x14ac:dyDescent="0.3">
      <c r="A27" s="5" t="s">
        <v>30</v>
      </c>
      <c r="B27" s="6"/>
      <c r="C27" s="11">
        <f>C26*0.15</f>
        <v>184.04226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8"/>
    </row>
    <row r="28" spans="1:14" ht="15.75" thickBot="1" x14ac:dyDescent="0.3">
      <c r="A28" s="9" t="s">
        <v>29</v>
      </c>
      <c r="B28" s="10"/>
      <c r="C28" s="11">
        <f>C26+C27</f>
        <v>1410.9906599999999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2"/>
    </row>
    <row r="29" spans="1:14" x14ac:dyDescent="0.25">
      <c r="A29" s="13" t="s">
        <v>23</v>
      </c>
      <c r="B29" s="14"/>
      <c r="C29" s="14">
        <v>3</v>
      </c>
      <c r="D29" s="14"/>
      <c r="E29" s="14"/>
      <c r="F29" s="14"/>
      <c r="G29" s="14"/>
      <c r="H29" s="14">
        <v>3</v>
      </c>
      <c r="I29" s="14"/>
      <c r="J29" s="14"/>
      <c r="K29" s="14"/>
      <c r="L29" s="14"/>
      <c r="M29" s="14">
        <v>3</v>
      </c>
      <c r="N29" s="15"/>
    </row>
    <row r="30" spans="1:14" x14ac:dyDescent="0.25">
      <c r="A30" s="16" t="s">
        <v>22</v>
      </c>
      <c r="B30" s="17"/>
      <c r="C30" s="18">
        <f>C29*C$22</f>
        <v>77.696100000000001</v>
      </c>
      <c r="D30" s="18"/>
      <c r="E30" s="18"/>
      <c r="F30" s="18"/>
      <c r="G30" s="18"/>
      <c r="H30" s="18">
        <f>H29*H$22</f>
        <v>84.205799999999996</v>
      </c>
      <c r="I30" s="18"/>
      <c r="J30" s="18"/>
      <c r="K30" s="18"/>
      <c r="L30" s="18"/>
      <c r="M30" s="18">
        <f>M29*M$22</f>
        <v>144.83519999999999</v>
      </c>
      <c r="N30" s="19"/>
    </row>
    <row r="31" spans="1:14" x14ac:dyDescent="0.25">
      <c r="A31" s="16" t="s">
        <v>26</v>
      </c>
      <c r="B31" s="17"/>
      <c r="C31" s="18">
        <f>C30*6</f>
        <v>466.17660000000001</v>
      </c>
      <c r="D31" s="17"/>
      <c r="E31" s="17"/>
      <c r="F31" s="17"/>
      <c r="G31" s="17"/>
      <c r="H31" s="18">
        <f>H30*6</f>
        <v>505.23479999999995</v>
      </c>
      <c r="I31" s="17"/>
      <c r="J31" s="17"/>
      <c r="K31" s="17"/>
      <c r="L31" s="17"/>
      <c r="M31" s="18">
        <f>M30*6</f>
        <v>869.01119999999992</v>
      </c>
      <c r="N31" s="19"/>
    </row>
    <row r="32" spans="1:14" x14ac:dyDescent="0.25">
      <c r="A32" s="16" t="s">
        <v>28</v>
      </c>
      <c r="B32" s="17"/>
      <c r="C32" s="18">
        <f>C31+H31+M31</f>
        <v>1840.4225999999999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9"/>
    </row>
    <row r="33" spans="1:14" ht="15.75" thickBot="1" x14ac:dyDescent="0.3">
      <c r="A33" s="16" t="s">
        <v>30</v>
      </c>
      <c r="B33" s="17"/>
      <c r="C33" s="22">
        <f>C32*0.15</f>
        <v>276.06338999999997</v>
      </c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9"/>
    </row>
    <row r="34" spans="1:14" ht="15.75" thickBot="1" x14ac:dyDescent="0.3">
      <c r="A34" s="20" t="s">
        <v>29</v>
      </c>
      <c r="B34" s="21"/>
      <c r="C34" s="22">
        <f>C32+C33</f>
        <v>2116.4859899999997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3"/>
    </row>
    <row r="35" spans="1:14" x14ac:dyDescent="0.25">
      <c r="A35" s="25" t="s">
        <v>23</v>
      </c>
      <c r="B35" s="26"/>
      <c r="C35" s="26">
        <v>4</v>
      </c>
      <c r="D35" s="26"/>
      <c r="E35" s="26"/>
      <c r="F35" s="26"/>
      <c r="G35" s="26"/>
      <c r="H35" s="26">
        <v>4</v>
      </c>
      <c r="I35" s="26"/>
      <c r="J35" s="26"/>
      <c r="K35" s="26"/>
      <c r="L35" s="26"/>
      <c r="M35" s="26">
        <v>4</v>
      </c>
      <c r="N35" s="27"/>
    </row>
    <row r="36" spans="1:14" x14ac:dyDescent="0.25">
      <c r="A36" s="28" t="s">
        <v>22</v>
      </c>
      <c r="B36" s="29"/>
      <c r="C36" s="30">
        <f>C35*C$22</f>
        <v>103.59480000000001</v>
      </c>
      <c r="D36" s="30"/>
      <c r="E36" s="30"/>
      <c r="F36" s="30"/>
      <c r="G36" s="30"/>
      <c r="H36" s="30">
        <f>H35*H$22</f>
        <v>112.2744</v>
      </c>
      <c r="I36" s="30"/>
      <c r="J36" s="30"/>
      <c r="K36" s="30"/>
      <c r="L36" s="30"/>
      <c r="M36" s="30">
        <f>M35*M$22</f>
        <v>193.11359999999999</v>
      </c>
      <c r="N36" s="31"/>
    </row>
    <row r="37" spans="1:14" x14ac:dyDescent="0.25">
      <c r="A37" s="28" t="s">
        <v>26</v>
      </c>
      <c r="B37" s="29"/>
      <c r="C37" s="30">
        <f>C36*6</f>
        <v>621.56880000000001</v>
      </c>
      <c r="D37" s="29"/>
      <c r="E37" s="29"/>
      <c r="F37" s="29"/>
      <c r="G37" s="29"/>
      <c r="H37" s="30">
        <f>H36*6</f>
        <v>673.64639999999997</v>
      </c>
      <c r="I37" s="29"/>
      <c r="J37" s="29"/>
      <c r="K37" s="29"/>
      <c r="L37" s="29"/>
      <c r="M37" s="30">
        <f>M36*6</f>
        <v>1158.6815999999999</v>
      </c>
      <c r="N37" s="31"/>
    </row>
    <row r="38" spans="1:14" x14ac:dyDescent="0.25">
      <c r="A38" s="28" t="s">
        <v>28</v>
      </c>
      <c r="B38" s="29"/>
      <c r="C38" s="30">
        <f>C37+H37+M37</f>
        <v>2453.8968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31"/>
    </row>
    <row r="39" spans="1:14" ht="15.75" thickBot="1" x14ac:dyDescent="0.3">
      <c r="A39" s="28" t="s">
        <v>30</v>
      </c>
      <c r="B39" s="29"/>
      <c r="C39" s="24">
        <f>C38*0.15</f>
        <v>368.08452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31"/>
    </row>
    <row r="40" spans="1:14" ht="15.75" thickBot="1" x14ac:dyDescent="0.3">
      <c r="A40" s="32" t="s">
        <v>29</v>
      </c>
      <c r="B40" s="33"/>
      <c r="C40" s="24">
        <f>C38+C39</f>
        <v>2821.9813199999999</v>
      </c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4"/>
    </row>
  </sheetData>
  <mergeCells count="3">
    <mergeCell ref="A3:N3"/>
    <mergeCell ref="A1:N1"/>
    <mergeCell ref="A2:N2"/>
  </mergeCells>
  <pageMargins left="0.7" right="0.7" top="0.75" bottom="0.75" header="0.3" footer="0.3"/>
  <pageSetup scale="8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zoomScaleNormal="100" workbookViewId="0">
      <selection sqref="A1:N50"/>
    </sheetView>
  </sheetViews>
  <sheetFormatPr defaultRowHeight="15" x14ac:dyDescent="0.25"/>
  <cols>
    <col min="4" max="4" width="11.140625" bestFit="1" customWidth="1"/>
    <col min="14" max="14" width="7.7109375" customWidth="1"/>
  </cols>
  <sheetData>
    <row r="1" spans="1:14" ht="23.25" x14ac:dyDescent="0.35">
      <c r="A1" s="59" t="s">
        <v>34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x14ac:dyDescent="0.25">
      <c r="A2" s="58" t="s">
        <v>35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1:14" ht="144" customHeight="1" x14ac:dyDescent="0.25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23" spans="1:1" x14ac:dyDescent="0.25">
      <c r="A23" t="s">
        <v>36</v>
      </c>
    </row>
    <row r="44" spans="1:4" x14ac:dyDescent="0.25">
      <c r="A44" t="s">
        <v>37</v>
      </c>
      <c r="D44" s="35">
        <v>45</v>
      </c>
    </row>
    <row r="45" spans="1:4" x14ac:dyDescent="0.25">
      <c r="A45" t="s">
        <v>38</v>
      </c>
      <c r="D45" s="36">
        <f>D44/3</f>
        <v>15</v>
      </c>
    </row>
    <row r="46" spans="1:4" x14ac:dyDescent="0.25">
      <c r="A46" t="s">
        <v>41</v>
      </c>
      <c r="D46" s="36">
        <v>15</v>
      </c>
    </row>
    <row r="47" spans="1:4" x14ac:dyDescent="0.25">
      <c r="A47" t="s">
        <v>39</v>
      </c>
      <c r="D47">
        <v>220</v>
      </c>
    </row>
    <row r="48" spans="1:4" x14ac:dyDescent="0.25">
      <c r="A48" t="s">
        <v>40</v>
      </c>
      <c r="D48" s="36">
        <f>D47*D46</f>
        <v>3300</v>
      </c>
    </row>
    <row r="49" spans="1:4" ht="15.75" thickBot="1" x14ac:dyDescent="0.3">
      <c r="A49" t="s">
        <v>42</v>
      </c>
      <c r="D49" s="37">
        <v>200</v>
      </c>
    </row>
    <row r="50" spans="1:4" x14ac:dyDescent="0.25">
      <c r="D50" s="36">
        <f>SUM(D48:D49)</f>
        <v>3500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Site_Costs</vt:lpstr>
      <vt:lpstr>LCS^2_Components</vt:lpstr>
      <vt:lpstr>Spawning_Beds</vt:lpstr>
      <vt:lpstr>Minnow_Factory</vt:lpstr>
      <vt:lpstr>HPF</vt:lpstr>
      <vt:lpstr>T-Habs</vt:lpstr>
      <vt:lpstr>Adult_rate</vt:lpstr>
      <vt:lpstr>Agency_Rate</vt:lpstr>
      <vt:lpstr>Student_Rate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 Swenson</dc:creator>
  <cp:lastModifiedBy>Ed Swenson</cp:lastModifiedBy>
  <cp:lastPrinted>2018-11-28T16:28:49Z</cp:lastPrinted>
  <dcterms:created xsi:type="dcterms:W3CDTF">2018-11-28T15:39:25Z</dcterms:created>
  <dcterms:modified xsi:type="dcterms:W3CDTF">2019-08-19T00:02:42Z</dcterms:modified>
</cp:coreProperties>
</file>